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it\Downloads\"/>
    </mc:Choice>
  </mc:AlternateContent>
  <xr:revisionPtr revIDLastSave="0" documentId="8_{ABAB04EF-44DD-41F8-9E12-5D1459DEEBA9}" xr6:coauthVersionLast="47" xr6:coauthVersionMax="47" xr10:uidLastSave="{00000000-0000-0000-0000-000000000000}"/>
  <bookViews>
    <workbookView xWindow="29925" yWindow="1125" windowWidth="21600" windowHeight="11295" tabRatio="938" xr2:uid="{584F2525-05D4-4375-83B4-7E386CD69EF0}"/>
  </bookViews>
  <sheets>
    <sheet name="Draft FY 26-27 Bud By Category" sheetId="45" r:id="rId1"/>
    <sheet name="Draft FY26-27 Budget for 4-3-26" sheetId="51" r:id="rId2"/>
    <sheet name="Proj. Accum. Excess Revenues" sheetId="50" r:id="rId3"/>
    <sheet name="Drafted FY 2026-2027 Budget" sheetId="44" state="hidden" r:id="rId4"/>
    <sheet name="25-26 Proj. Actual vs Budget" sheetId="43" state="hidden" r:id="rId5"/>
    <sheet name="FY26-27 Computer-Phone-Internet" sheetId="46" state="hidden" r:id="rId6"/>
    <sheet name="FY26-27 Conferences" sheetId="49" state="hidden" r:id="rId7"/>
    <sheet name="FY26-27 Employer Taxes" sheetId="47" state="hidden" r:id="rId8"/>
    <sheet name="2026-01 thru 06 Payroll Proj" sheetId="48" state="hidden" r:id="rId9"/>
    <sheet name="2025-2026 Actual vs Budget" sheetId="35" state="hidden" r:id="rId10"/>
    <sheet name="Hyde County Ledger Exp FY 25-26" sheetId="34" state="hidden" r:id="rId11"/>
    <sheet name="Small Purch Acct FY 25-26" sheetId="33" state="hidden" r:id="rId12"/>
    <sheet name="Expense Summary - Check" sheetId="39" state="hidden" r:id="rId13"/>
    <sheet name="Medical Insurance Recon" sheetId="42" state="hidden" r:id="rId14"/>
    <sheet name="Patriot PR Details RPT FY 25-26" sheetId="40" state="hidden" r:id="rId15"/>
    <sheet name="FNB Payroll Acct. Rollforward" sheetId="38" state="hidden" r:id="rId16"/>
    <sheet name="FY 2025-2026 Occupancy Tax" sheetId="37" state="hidden" r:id="rId17"/>
    <sheet name="FY 2025-2026 Budget" sheetId="36" state="hidden" r:id="rId18"/>
  </sheets>
  <definedNames>
    <definedName name="_xlnm._FilterDatabase" localSheetId="15" hidden="1">'FNB Payroll Acct. Rollforward'!$A$2:$F$3</definedName>
    <definedName name="_xlnm._FilterDatabase" localSheetId="10" hidden="1">'Hyde County Ledger Exp FY 25-26'!$A$6:$AE$94</definedName>
    <definedName name="_xlnm._FilterDatabase" localSheetId="11" hidden="1">'Small Purch Acct FY 25-26'!$A$5:$J$9</definedName>
    <definedName name="_xlnm.Print_Area" localSheetId="9">'2025-2026 Actual vs Budget'!$A$1:$I$83</definedName>
    <definedName name="_xlnm.Print_Area" localSheetId="4">'25-26 Proj. Actual vs Budget'!$A$1:$I$83</definedName>
    <definedName name="_xlnm.Print_Area" localSheetId="0">'Draft FY 26-27 Bud By Category'!$A$1:$G$86</definedName>
    <definedName name="_xlnm.Print_Area" localSheetId="1">'Draft FY26-27 Budget for 4-3-26'!$A$1:$K$86</definedName>
    <definedName name="_xlnm.Print_Area" localSheetId="3">'Drafted FY 2026-2027 Budget'!$A$1:$K$85</definedName>
    <definedName name="_xlnm.Print_Area" localSheetId="16">'FY 2025-2026 Occupancy Tax'!$A$1:$E$19</definedName>
    <definedName name="_xlnm.Print_Area" localSheetId="10">'Hyde County Ledger Exp FY 25-26'!$A$1:$AE$107</definedName>
    <definedName name="_xlnm.Print_Area" localSheetId="11">'Small Purch Acct FY 25-26'!$A$1:$F$68</definedName>
    <definedName name="_xlnm.Print_Titles" localSheetId="9">'2025-2026 Actual vs Budget'!$1:$4</definedName>
    <definedName name="_xlnm.Print_Titles" localSheetId="4">'25-26 Proj. Actual vs Budget'!$1:$4</definedName>
    <definedName name="_xlnm.Print_Titles" localSheetId="0">'Draft FY 26-27 Bud By Category'!$1:$4</definedName>
    <definedName name="_xlnm.Print_Titles" localSheetId="1">'Draft FY26-27 Budget for 4-3-26'!$1:$5</definedName>
    <definedName name="_xlnm.Print_Titles" localSheetId="3">'Drafted FY 2026-2027 Budget'!$1:$4</definedName>
    <definedName name="_xlnm.Print_Titles" localSheetId="10">'Hyde County Ledger Exp FY 25-26'!$A:$D,'Hyde County Ledger Exp FY 25-26'!$1:$6</definedName>
    <definedName name="_xlnm.Print_Titles" localSheetId="11">'Small Purch Acct FY 25-26'!$1:$5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45" l="1"/>
  <c r="F77" i="45"/>
  <c r="F78" i="45"/>
  <c r="F79" i="45"/>
  <c r="F80" i="45"/>
  <c r="F81" i="45"/>
  <c r="E81" i="45" s="1"/>
  <c r="F82" i="45"/>
  <c r="E82" i="45" s="1"/>
  <c r="F83" i="45"/>
  <c r="F84" i="45"/>
  <c r="F75" i="45"/>
  <c r="E79" i="45"/>
  <c r="E80" i="45"/>
  <c r="F14" i="45"/>
  <c r="F16" i="45"/>
  <c r="F18" i="45"/>
  <c r="F20" i="45"/>
  <c r="F22" i="45"/>
  <c r="F24" i="45"/>
  <c r="F26" i="45"/>
  <c r="F28" i="45"/>
  <c r="F30" i="45"/>
  <c r="F33" i="45"/>
  <c r="F34" i="45"/>
  <c r="F35" i="45"/>
  <c r="F38" i="45"/>
  <c r="F39" i="45"/>
  <c r="F40" i="45"/>
  <c r="F41" i="45"/>
  <c r="F43" i="45"/>
  <c r="F45" i="45"/>
  <c r="F47" i="45"/>
  <c r="F50" i="45"/>
  <c r="F51" i="45"/>
  <c r="F52" i="45"/>
  <c r="F54" i="45"/>
  <c r="F56" i="45"/>
  <c r="F58" i="45"/>
  <c r="F60" i="45"/>
  <c r="F12" i="45"/>
  <c r="E14" i="45"/>
  <c r="F8" i="45"/>
  <c r="F7" i="45"/>
  <c r="D14" i="45"/>
  <c r="H82" i="51"/>
  <c r="G8" i="51"/>
  <c r="I85" i="51"/>
  <c r="I60" i="51" s="1"/>
  <c r="I73" i="51" s="1"/>
  <c r="G85" i="51"/>
  <c r="G60" i="51" s="1"/>
  <c r="D85" i="51"/>
  <c r="J84" i="51"/>
  <c r="F84" i="51"/>
  <c r="H84" i="51" s="1"/>
  <c r="E84" i="51"/>
  <c r="J83" i="51"/>
  <c r="F83" i="51"/>
  <c r="H83" i="51" s="1"/>
  <c r="J81" i="51"/>
  <c r="H81" i="51"/>
  <c r="J80" i="51"/>
  <c r="F80" i="51"/>
  <c r="H80" i="51" s="1"/>
  <c r="J79" i="51"/>
  <c r="F79" i="51"/>
  <c r="E79" i="51" s="1"/>
  <c r="J78" i="51"/>
  <c r="F78" i="51"/>
  <c r="H78" i="51" s="1"/>
  <c r="E78" i="51"/>
  <c r="J77" i="51"/>
  <c r="F77" i="51"/>
  <c r="H77" i="51" s="1"/>
  <c r="E77" i="51"/>
  <c r="J76" i="51"/>
  <c r="F76" i="51"/>
  <c r="E76" i="51" s="1"/>
  <c r="J75" i="51"/>
  <c r="F75" i="51"/>
  <c r="H75" i="51" s="1"/>
  <c r="E75" i="51"/>
  <c r="F73" i="51"/>
  <c r="D73" i="51"/>
  <c r="H71" i="51"/>
  <c r="G71" i="51"/>
  <c r="F71" i="51"/>
  <c r="D71" i="51"/>
  <c r="D62" i="51"/>
  <c r="F60" i="51"/>
  <c r="E60" i="51" s="1"/>
  <c r="G58" i="51"/>
  <c r="J58" i="51" s="1"/>
  <c r="F58" i="51"/>
  <c r="E58" i="51" s="1"/>
  <c r="I56" i="51"/>
  <c r="G56" i="51"/>
  <c r="F56" i="51"/>
  <c r="E56" i="51"/>
  <c r="J54" i="51"/>
  <c r="F54" i="51"/>
  <c r="H54" i="51" s="1"/>
  <c r="E54" i="51"/>
  <c r="J52" i="51"/>
  <c r="F52" i="51"/>
  <c r="H52" i="51" s="1"/>
  <c r="E52" i="51"/>
  <c r="J51" i="51"/>
  <c r="F51" i="51"/>
  <c r="H51" i="51" s="1"/>
  <c r="J50" i="51"/>
  <c r="F50" i="51"/>
  <c r="H50" i="51" s="1"/>
  <c r="E50" i="51"/>
  <c r="J47" i="51"/>
  <c r="F47" i="51"/>
  <c r="H47" i="51" s="1"/>
  <c r="J45" i="51"/>
  <c r="F45" i="51"/>
  <c r="H45" i="51" s="1"/>
  <c r="J43" i="51"/>
  <c r="F43" i="51"/>
  <c r="H43" i="51" s="1"/>
  <c r="E43" i="51"/>
  <c r="J41" i="51"/>
  <c r="F41" i="51"/>
  <c r="H41" i="51" s="1"/>
  <c r="J40" i="51"/>
  <c r="F40" i="51"/>
  <c r="H40" i="51" s="1"/>
  <c r="E40" i="51"/>
  <c r="J39" i="51"/>
  <c r="H39" i="51"/>
  <c r="J38" i="51"/>
  <c r="F38" i="51"/>
  <c r="H38" i="51" s="1"/>
  <c r="J35" i="51"/>
  <c r="F35" i="51"/>
  <c r="H35" i="51" s="1"/>
  <c r="J34" i="51"/>
  <c r="F34" i="51"/>
  <c r="E34" i="51" s="1"/>
  <c r="J33" i="51"/>
  <c r="F33" i="51"/>
  <c r="H33" i="51" s="1"/>
  <c r="E33" i="51"/>
  <c r="J30" i="51"/>
  <c r="F30" i="51"/>
  <c r="H30" i="51" s="1"/>
  <c r="E30" i="51"/>
  <c r="J28" i="51"/>
  <c r="F28" i="51"/>
  <c r="E28" i="51" s="1"/>
  <c r="J26" i="51"/>
  <c r="F26" i="51"/>
  <c r="H26" i="51" s="1"/>
  <c r="J24" i="51"/>
  <c r="F24" i="51"/>
  <c r="H24" i="51" s="1"/>
  <c r="J22" i="51"/>
  <c r="F22" i="51"/>
  <c r="E22" i="51" s="1"/>
  <c r="I20" i="51"/>
  <c r="G20" i="51"/>
  <c r="F20" i="51"/>
  <c r="E20" i="51" s="1"/>
  <c r="J18" i="51"/>
  <c r="F18" i="51"/>
  <c r="H18" i="51" s="1"/>
  <c r="E18" i="51"/>
  <c r="J16" i="51"/>
  <c r="F16" i="51"/>
  <c r="H16" i="51" s="1"/>
  <c r="E16" i="51"/>
  <c r="J14" i="51"/>
  <c r="F14" i="51"/>
  <c r="H14" i="51" s="1"/>
  <c r="E14" i="51"/>
  <c r="J12" i="51"/>
  <c r="F12" i="51"/>
  <c r="E12" i="51"/>
  <c r="I9" i="51"/>
  <c r="D9" i="51"/>
  <c r="G9" i="51"/>
  <c r="F8" i="51"/>
  <c r="E8" i="51" s="1"/>
  <c r="J7" i="51"/>
  <c r="F7" i="51"/>
  <c r="E7" i="51"/>
  <c r="G8" i="44"/>
  <c r="F9" i="51" l="1"/>
  <c r="E24" i="51"/>
  <c r="D64" i="51"/>
  <c r="E51" i="51"/>
  <c r="E26" i="51"/>
  <c r="E9" i="51"/>
  <c r="E38" i="51"/>
  <c r="E83" i="51"/>
  <c r="E45" i="51"/>
  <c r="E73" i="51"/>
  <c r="H20" i="51"/>
  <c r="H7" i="51"/>
  <c r="H9" i="51" s="1"/>
  <c r="E47" i="51"/>
  <c r="J60" i="51"/>
  <c r="J73" i="51" s="1"/>
  <c r="I62" i="51"/>
  <c r="I64" i="51" s="1"/>
  <c r="F62" i="51"/>
  <c r="F64" i="51" s="1"/>
  <c r="E35" i="51"/>
  <c r="E41" i="51"/>
  <c r="J85" i="51"/>
  <c r="E80" i="51"/>
  <c r="E85" i="51" s="1"/>
  <c r="G62" i="51"/>
  <c r="G64" i="51" s="1"/>
  <c r="H22" i="51"/>
  <c r="H79" i="51"/>
  <c r="H60" i="51"/>
  <c r="F85" i="51"/>
  <c r="H28" i="51"/>
  <c r="H12" i="51"/>
  <c r="G73" i="51"/>
  <c r="H73" i="51" s="1"/>
  <c r="H8" i="51"/>
  <c r="H56" i="51"/>
  <c r="J8" i="51"/>
  <c r="J9" i="51" s="1"/>
  <c r="J56" i="51"/>
  <c r="H34" i="51"/>
  <c r="H76" i="51"/>
  <c r="J20" i="51"/>
  <c r="J62" i="51" s="1"/>
  <c r="H58" i="51"/>
  <c r="B5" i="47"/>
  <c r="B6" i="47"/>
  <c r="E62" i="51" l="1"/>
  <c r="E64" i="51" s="1"/>
  <c r="H85" i="51"/>
  <c r="J64" i="51"/>
  <c r="H62" i="51"/>
  <c r="H64" i="51" s="1"/>
  <c r="E8" i="43"/>
  <c r="G58" i="44" l="1"/>
  <c r="E30" i="43"/>
  <c r="H18" i="44"/>
  <c r="J76" i="44" l="1"/>
  <c r="J77" i="44"/>
  <c r="J84" i="44" s="1"/>
  <c r="J78" i="44"/>
  <c r="J79" i="44"/>
  <c r="J80" i="44"/>
  <c r="J81" i="44"/>
  <c r="J82" i="44"/>
  <c r="J83" i="44"/>
  <c r="J75" i="44"/>
  <c r="J58" i="44"/>
  <c r="J56" i="44"/>
  <c r="J54" i="44"/>
  <c r="J52" i="44"/>
  <c r="J51" i="44"/>
  <c r="J50" i="44"/>
  <c r="J47" i="44"/>
  <c r="J45" i="44"/>
  <c r="J43" i="44"/>
  <c r="J41" i="44"/>
  <c r="J40" i="44"/>
  <c r="J39" i="44"/>
  <c r="J38" i="44"/>
  <c r="J35" i="44"/>
  <c r="J34" i="44"/>
  <c r="J33" i="44"/>
  <c r="J30" i="44"/>
  <c r="J28" i="44"/>
  <c r="J26" i="44"/>
  <c r="J24" i="44"/>
  <c r="J22" i="44"/>
  <c r="J20" i="44"/>
  <c r="J18" i="44"/>
  <c r="J16" i="44"/>
  <c r="J14" i="44"/>
  <c r="J12" i="44"/>
  <c r="J8" i="44"/>
  <c r="J7" i="44"/>
  <c r="I84" i="44"/>
  <c r="I60" i="44" s="1"/>
  <c r="I56" i="44"/>
  <c r="I20" i="44"/>
  <c r="I9" i="44"/>
  <c r="H81" i="44"/>
  <c r="E7" i="43"/>
  <c r="F83" i="44"/>
  <c r="F82" i="44"/>
  <c r="B9" i="50"/>
  <c r="D39" i="45"/>
  <c r="E26" i="43"/>
  <c r="N78" i="34"/>
  <c r="D19" i="49"/>
  <c r="D14" i="49"/>
  <c r="B14" i="49"/>
  <c r="B19" i="49" s="1"/>
  <c r="J9" i="44" l="1"/>
  <c r="I73" i="44"/>
  <c r="I62" i="44"/>
  <c r="I64" i="44" s="1"/>
  <c r="G20" i="44"/>
  <c r="C42" i="46"/>
  <c r="C35" i="46"/>
  <c r="C26" i="46"/>
  <c r="C25" i="46"/>
  <c r="C24" i="46"/>
  <c r="C23" i="46"/>
  <c r="C22" i="46"/>
  <c r="C27" i="46" s="1"/>
  <c r="C16" i="46"/>
  <c r="C15" i="46"/>
  <c r="C14" i="46"/>
  <c r="C13" i="46"/>
  <c r="C17" i="46" s="1"/>
  <c r="C9" i="46"/>
  <c r="C8" i="46"/>
  <c r="C7" i="46"/>
  <c r="C6" i="46"/>
  <c r="C5" i="46"/>
  <c r="B12" i="47" l="1"/>
  <c r="D37" i="48"/>
  <c r="D36" i="48"/>
  <c r="D35" i="48"/>
  <c r="D34" i="48"/>
  <c r="D31" i="48"/>
  <c r="D28" i="48"/>
  <c r="C28" i="48"/>
  <c r="C27" i="48"/>
  <c r="B28" i="48"/>
  <c r="B27" i="48"/>
  <c r="D27" i="48" s="1"/>
  <c r="D29" i="48" s="1"/>
  <c r="C22" i="48"/>
  <c r="C21" i="48"/>
  <c r="B22" i="48"/>
  <c r="D22" i="48" s="1"/>
  <c r="B21" i="48"/>
  <c r="D21" i="48" s="1"/>
  <c r="D23" i="48" s="1"/>
  <c r="B17" i="48"/>
  <c r="D17" i="48" s="1"/>
  <c r="B4" i="47" l="1"/>
  <c r="E38" i="43"/>
  <c r="H39" i="44"/>
  <c r="B7" i="47" l="1"/>
  <c r="B9" i="47" s="1"/>
  <c r="E20" i="43"/>
  <c r="G56" i="44"/>
  <c r="E55" i="43"/>
  <c r="B10" i="47" l="1"/>
  <c r="B14" i="47" s="1"/>
  <c r="E84" i="45"/>
  <c r="E83" i="45"/>
  <c r="E78" i="45"/>
  <c r="E77" i="45"/>
  <c r="E76" i="45"/>
  <c r="E75" i="45"/>
  <c r="F71" i="45"/>
  <c r="D58" i="45"/>
  <c r="D56" i="45"/>
  <c r="D54" i="45"/>
  <c r="D52" i="45"/>
  <c r="D51" i="45"/>
  <c r="D50" i="45"/>
  <c r="D47" i="45"/>
  <c r="D45" i="45"/>
  <c r="E43" i="45"/>
  <c r="E41" i="45"/>
  <c r="E40" i="45"/>
  <c r="E38" i="45"/>
  <c r="D35" i="45"/>
  <c r="D34" i="45"/>
  <c r="D33" i="45"/>
  <c r="D30" i="45"/>
  <c r="D28" i="45"/>
  <c r="D26" i="45"/>
  <c r="D24" i="45"/>
  <c r="E22" i="45"/>
  <c r="D20" i="45"/>
  <c r="D18" i="45"/>
  <c r="D16" i="45"/>
  <c r="D12" i="45"/>
  <c r="E71" i="45"/>
  <c r="D22" i="45" l="1"/>
  <c r="D38" i="45"/>
  <c r="E85" i="45"/>
  <c r="F85" i="45"/>
  <c r="F9" i="45"/>
  <c r="D62" i="45" l="1"/>
  <c r="F8" i="43" l="1"/>
  <c r="F51" i="43"/>
  <c r="F52" i="44" s="1"/>
  <c r="H52" i="44" s="1"/>
  <c r="G84" i="44"/>
  <c r="G60" i="44" s="1"/>
  <c r="G71" i="44"/>
  <c r="G9" i="44"/>
  <c r="H71" i="44"/>
  <c r="D84" i="44"/>
  <c r="D73" i="44"/>
  <c r="D71" i="44"/>
  <c r="F71" i="44"/>
  <c r="D62" i="44"/>
  <c r="D9" i="44"/>
  <c r="F62" i="45" l="1"/>
  <c r="J60" i="44"/>
  <c r="F8" i="44"/>
  <c r="E8" i="44" s="1"/>
  <c r="B11" i="50"/>
  <c r="B13" i="50" s="1"/>
  <c r="B17" i="50" s="1"/>
  <c r="G62" i="44"/>
  <c r="G64" i="44" s="1"/>
  <c r="F73" i="45"/>
  <c r="E60" i="45"/>
  <c r="G73" i="44"/>
  <c r="E52" i="44"/>
  <c r="D64" i="44"/>
  <c r="J73" i="44" l="1"/>
  <c r="J62" i="44"/>
  <c r="J64" i="44" s="1"/>
  <c r="H8" i="44"/>
  <c r="F64" i="45"/>
  <c r="D66" i="45"/>
  <c r="E73" i="45"/>
  <c r="E62" i="45"/>
  <c r="H51" i="43"/>
  <c r="H8" i="43"/>
  <c r="F18" i="43"/>
  <c r="F18" i="44" s="1"/>
  <c r="F12" i="43"/>
  <c r="F12" i="44" s="1"/>
  <c r="F70" i="43"/>
  <c r="E82" i="43"/>
  <c r="E59" i="43" s="1"/>
  <c r="E61" i="43" s="1"/>
  <c r="E70" i="43"/>
  <c r="G82" i="43"/>
  <c r="D81" i="43"/>
  <c r="F81" i="43" s="1"/>
  <c r="D78" i="43"/>
  <c r="F78" i="43" s="1"/>
  <c r="D77" i="43"/>
  <c r="F77" i="43" s="1"/>
  <c r="F78" i="44" s="1"/>
  <c r="G72" i="43"/>
  <c r="G70" i="43"/>
  <c r="D70" i="43"/>
  <c r="G61" i="43"/>
  <c r="D35" i="43"/>
  <c r="F35" i="43" s="1"/>
  <c r="F35" i="44" s="1"/>
  <c r="D34" i="43"/>
  <c r="F34" i="43" s="1"/>
  <c r="F34" i="44" s="1"/>
  <c r="D33" i="43"/>
  <c r="F33" i="43" s="1"/>
  <c r="F33" i="44" s="1"/>
  <c r="G9" i="43"/>
  <c r="D7" i="43"/>
  <c r="AB89" i="34"/>
  <c r="AE89" i="34" s="1"/>
  <c r="I94" i="34"/>
  <c r="AE94" i="34" s="1"/>
  <c r="I90" i="34"/>
  <c r="AB87" i="34"/>
  <c r="AE87" i="34" s="1"/>
  <c r="I83" i="34"/>
  <c r="AE83" i="34" s="1"/>
  <c r="M76" i="34"/>
  <c r="AE76" i="34" s="1"/>
  <c r="U88" i="34"/>
  <c r="AE88" i="34" s="1"/>
  <c r="I75" i="34"/>
  <c r="AE75" i="34" s="1"/>
  <c r="U73" i="34"/>
  <c r="AE73" i="34" s="1"/>
  <c r="O71" i="34"/>
  <c r="AE71" i="34" s="1"/>
  <c r="AE78" i="34"/>
  <c r="L79" i="34"/>
  <c r="AE79" i="34" s="1"/>
  <c r="AA92" i="34"/>
  <c r="AE92" i="34" s="1"/>
  <c r="AC91" i="34"/>
  <c r="AE91" i="34" s="1"/>
  <c r="AC86" i="34"/>
  <c r="AE86" i="34" s="1"/>
  <c r="U85" i="34"/>
  <c r="AE85" i="34" s="1"/>
  <c r="I84" i="34"/>
  <c r="AE84" i="34" s="1"/>
  <c r="AC81" i="34"/>
  <c r="AE81" i="34" s="1"/>
  <c r="AC80" i="34"/>
  <c r="AE80" i="34" s="1"/>
  <c r="AC77" i="34"/>
  <c r="AE77" i="34" s="1"/>
  <c r="Q74" i="34"/>
  <c r="AE74" i="34" s="1"/>
  <c r="Q72" i="34"/>
  <c r="AE72" i="34" s="1"/>
  <c r="AE82" i="34"/>
  <c r="AE93" i="34"/>
  <c r="AE95" i="34"/>
  <c r="C20" i="37"/>
  <c r="AC104" i="34" l="1"/>
  <c r="D80" i="43" s="1"/>
  <c r="F80" i="43" s="1"/>
  <c r="F80" i="44" s="1"/>
  <c r="E72" i="43"/>
  <c r="E66" i="45"/>
  <c r="D9" i="43"/>
  <c r="E9" i="43"/>
  <c r="E63" i="43" s="1"/>
  <c r="H18" i="43"/>
  <c r="E18" i="44"/>
  <c r="F7" i="43"/>
  <c r="E12" i="44"/>
  <c r="H12" i="44"/>
  <c r="H12" i="43"/>
  <c r="H78" i="44"/>
  <c r="E78" i="44"/>
  <c r="H81" i="43"/>
  <c r="E82" i="44"/>
  <c r="H82" i="44"/>
  <c r="H77" i="43"/>
  <c r="H83" i="44"/>
  <c r="E83" i="44"/>
  <c r="H78" i="43"/>
  <c r="H33" i="43"/>
  <c r="H33" i="44"/>
  <c r="E33" i="44"/>
  <c r="H35" i="43"/>
  <c r="H34" i="44"/>
  <c r="E34" i="44"/>
  <c r="H35" i="44"/>
  <c r="E35" i="44"/>
  <c r="H34" i="43"/>
  <c r="AC100" i="34"/>
  <c r="D76" i="43" s="1"/>
  <c r="F76" i="43" s="1"/>
  <c r="F77" i="44" s="1"/>
  <c r="H7" i="43"/>
  <c r="H9" i="43" s="1"/>
  <c r="G63" i="43"/>
  <c r="AE90" i="34"/>
  <c r="E44" i="38"/>
  <c r="F42" i="38"/>
  <c r="H80" i="43" l="1"/>
  <c r="F9" i="43"/>
  <c r="F7" i="44"/>
  <c r="H80" i="44"/>
  <c r="E80" i="44"/>
  <c r="H76" i="43"/>
  <c r="E75" i="35"/>
  <c r="E76" i="35"/>
  <c r="E77" i="35"/>
  <c r="E78" i="35"/>
  <c r="E79" i="35"/>
  <c r="E80" i="35"/>
  <c r="E81" i="35"/>
  <c r="E74" i="35"/>
  <c r="E14" i="35"/>
  <c r="E16" i="35"/>
  <c r="E18" i="35"/>
  <c r="E20" i="35"/>
  <c r="E22" i="35"/>
  <c r="E24" i="35"/>
  <c r="E26" i="35"/>
  <c r="E28" i="35"/>
  <c r="E30" i="35"/>
  <c r="E33" i="35"/>
  <c r="E34" i="35"/>
  <c r="E35" i="35"/>
  <c r="E38" i="35"/>
  <c r="E39" i="35"/>
  <c r="E40" i="35"/>
  <c r="E42" i="35"/>
  <c r="E44" i="35"/>
  <c r="E46" i="35"/>
  <c r="E49" i="35"/>
  <c r="E50" i="35"/>
  <c r="E51" i="35"/>
  <c r="E53" i="35"/>
  <c r="E55" i="35"/>
  <c r="E57" i="35"/>
  <c r="E59" i="35"/>
  <c r="E12" i="35"/>
  <c r="E8" i="35"/>
  <c r="E7" i="35"/>
  <c r="M69" i="34"/>
  <c r="AB70" i="34"/>
  <c r="AB68" i="34"/>
  <c r="AB66" i="34"/>
  <c r="Q67" i="34"/>
  <c r="H7" i="44" l="1"/>
  <c r="H9" i="44" s="1"/>
  <c r="F9" i="44"/>
  <c r="E7" i="44"/>
  <c r="E9" i="44" s="1"/>
  <c r="H77" i="44"/>
  <c r="E77" i="44"/>
  <c r="W59" i="34"/>
  <c r="AE59" i="34" s="1"/>
  <c r="R60" i="34"/>
  <c r="AE60" i="34" s="1"/>
  <c r="AE67" i="34"/>
  <c r="AC65" i="34"/>
  <c r="AA64" i="34"/>
  <c r="AE64" i="34" s="1"/>
  <c r="AC63" i="34"/>
  <c r="AE63" i="34" s="1"/>
  <c r="K62" i="34"/>
  <c r="AE62" i="34" s="1"/>
  <c r="F61" i="34"/>
  <c r="AE61" i="34" s="1"/>
  <c r="AE66" i="34"/>
  <c r="AE68" i="34"/>
  <c r="AE69" i="34"/>
  <c r="AE70" i="34"/>
  <c r="AE65" i="34" l="1"/>
  <c r="AC103" i="34"/>
  <c r="D79" i="43" s="1"/>
  <c r="F79" i="43" s="1"/>
  <c r="F79" i="44" s="1"/>
  <c r="C15" i="40"/>
  <c r="H79" i="43" l="1"/>
  <c r="I40" i="34"/>
  <c r="U56" i="34"/>
  <c r="U48" i="34"/>
  <c r="I49" i="34"/>
  <c r="I51" i="34"/>
  <c r="U46" i="34"/>
  <c r="S47" i="34"/>
  <c r="E79" i="44" l="1"/>
  <c r="H79" i="44"/>
  <c r="AA53" i="34"/>
  <c r="AE53" i="34" s="1"/>
  <c r="AC52" i="34"/>
  <c r="AE52" i="34" s="1"/>
  <c r="K50" i="34"/>
  <c r="AE50" i="34" s="1"/>
  <c r="AC45" i="34"/>
  <c r="AE45" i="34" s="1"/>
  <c r="P58" i="34"/>
  <c r="AE58" i="34" s="1"/>
  <c r="P54" i="34"/>
  <c r="AE54" i="34" s="1"/>
  <c r="Z55" i="34"/>
  <c r="AE55" i="34" s="1"/>
  <c r="I42" i="34"/>
  <c r="AE42" i="34" s="1"/>
  <c r="Q41" i="34"/>
  <c r="AE41" i="34" s="1"/>
  <c r="F44" i="34"/>
  <c r="AE44" i="34" s="1"/>
  <c r="AE57" i="34"/>
  <c r="AE56" i="34"/>
  <c r="AE51" i="34"/>
  <c r="AE49" i="34"/>
  <c r="AE48" i="34"/>
  <c r="AE47" i="34"/>
  <c r="AE46" i="34"/>
  <c r="AE43" i="34"/>
  <c r="AE40" i="34"/>
  <c r="F74" i="33"/>
  <c r="F85" i="33" s="1"/>
  <c r="AB39" i="34"/>
  <c r="E45" i="38" l="1"/>
  <c r="U38" i="34"/>
  <c r="AA36" i="34"/>
  <c r="AC35" i="34"/>
  <c r="F33" i="34"/>
  <c r="Q31" i="34" l="1"/>
  <c r="U30" i="34"/>
  <c r="L29" i="34"/>
  <c r="X37" i="34" l="1"/>
  <c r="X34" i="34"/>
  <c r="AE29" i="34" l="1"/>
  <c r="AE30" i="34"/>
  <c r="AE31" i="34"/>
  <c r="AE32" i="34"/>
  <c r="AE33" i="34"/>
  <c r="AE34" i="34"/>
  <c r="AE35" i="34"/>
  <c r="AE36" i="34"/>
  <c r="AE37" i="34"/>
  <c r="AE38" i="34"/>
  <c r="AE39" i="34"/>
  <c r="I24" i="34"/>
  <c r="U25" i="34"/>
  <c r="U19" i="34"/>
  <c r="U12" i="34"/>
  <c r="M11" i="34"/>
  <c r="I13" i="34"/>
  <c r="I10" i="34"/>
  <c r="K22" i="34"/>
  <c r="AC23" i="34"/>
  <c r="Q27" i="34"/>
  <c r="AC21" i="34"/>
  <c r="K20" i="34"/>
  <c r="AC26" i="34" l="1"/>
  <c r="AC15" i="34"/>
  <c r="AA28" i="34"/>
  <c r="AE28" i="34" s="1"/>
  <c r="AA16" i="34"/>
  <c r="AE16" i="34" s="1"/>
  <c r="AA14" i="34"/>
  <c r="AE14" i="34" s="1"/>
  <c r="F18" i="34"/>
  <c r="AE18" i="34" s="1"/>
  <c r="T9" i="34"/>
  <c r="AE9" i="34" s="1"/>
  <c r="X7" i="34"/>
  <c r="D76" i="35"/>
  <c r="D77" i="35"/>
  <c r="D78" i="35"/>
  <c r="D79" i="35"/>
  <c r="D80" i="35"/>
  <c r="D81" i="35"/>
  <c r="F81" i="35" s="1"/>
  <c r="AC8" i="34"/>
  <c r="AC99" i="34" s="1"/>
  <c r="D75" i="43" s="1"/>
  <c r="F75" i="43" s="1"/>
  <c r="AE10" i="34"/>
  <c r="AE11" i="34"/>
  <c r="AE12" i="34"/>
  <c r="AE13" i="34"/>
  <c r="AE17" i="34"/>
  <c r="AE19" i="34"/>
  <c r="AE20" i="34"/>
  <c r="AE21" i="34"/>
  <c r="AE22" i="34"/>
  <c r="AB96" i="34"/>
  <c r="AE23" i="34"/>
  <c r="AE24" i="34"/>
  <c r="AE25" i="34"/>
  <c r="AE27" i="34"/>
  <c r="F69" i="33"/>
  <c r="F84" i="33" s="1"/>
  <c r="F45" i="33"/>
  <c r="F89" i="33" s="1"/>
  <c r="AC98" i="34" l="1"/>
  <c r="D74" i="43" s="1"/>
  <c r="F74" i="43" s="1"/>
  <c r="F75" i="44" s="1"/>
  <c r="H75" i="43"/>
  <c r="F76" i="44"/>
  <c r="D57" i="35"/>
  <c r="D57" i="43"/>
  <c r="F57" i="43" s="1"/>
  <c r="AE15" i="34"/>
  <c r="D75" i="35"/>
  <c r="AE8" i="34"/>
  <c r="AE26" i="34"/>
  <c r="A4" i="42"/>
  <c r="D34" i="35"/>
  <c r="D33" i="35"/>
  <c r="D82" i="43" l="1"/>
  <c r="D74" i="35"/>
  <c r="H75" i="44"/>
  <c r="F84" i="44"/>
  <c r="E75" i="44"/>
  <c r="E76" i="44"/>
  <c r="H76" i="44"/>
  <c r="H57" i="43"/>
  <c r="F58" i="44"/>
  <c r="H74" i="43"/>
  <c r="H82" i="43" s="1"/>
  <c r="F82" i="43"/>
  <c r="F51" i="35"/>
  <c r="H51" i="35"/>
  <c r="H18" i="35"/>
  <c r="F18" i="35"/>
  <c r="F76" i="36"/>
  <c r="E75" i="36"/>
  <c r="E74" i="36"/>
  <c r="E73" i="36"/>
  <c r="E72" i="36"/>
  <c r="E71" i="36"/>
  <c r="E70" i="36"/>
  <c r="E69" i="36"/>
  <c r="E68" i="36"/>
  <c r="E67" i="36"/>
  <c r="E76" i="36" s="1"/>
  <c r="E65" i="36" s="1"/>
  <c r="E57" i="36" s="1"/>
  <c r="F65" i="36"/>
  <c r="F57" i="36" s="1"/>
  <c r="D55" i="36"/>
  <c r="D53" i="36"/>
  <c r="D51" i="36"/>
  <c r="D49" i="36"/>
  <c r="D48" i="36"/>
  <c r="D47" i="36"/>
  <c r="D45" i="36"/>
  <c r="D43" i="36"/>
  <c r="D41" i="36"/>
  <c r="E39" i="36"/>
  <c r="F38" i="36"/>
  <c r="E38" i="36"/>
  <c r="E37" i="36"/>
  <c r="D37" i="36"/>
  <c r="D34" i="36"/>
  <c r="D33" i="36"/>
  <c r="D32" i="36"/>
  <c r="F29" i="36"/>
  <c r="D29" i="36"/>
  <c r="D27" i="36"/>
  <c r="F25" i="36"/>
  <c r="D25" i="36"/>
  <c r="D23" i="36"/>
  <c r="E21" i="36"/>
  <c r="E59" i="36" s="1"/>
  <c r="D21" i="36"/>
  <c r="F19" i="36"/>
  <c r="D19" i="36"/>
  <c r="D17" i="36"/>
  <c r="D15" i="36"/>
  <c r="D13" i="36"/>
  <c r="D11" i="36"/>
  <c r="D59" i="36" s="1"/>
  <c r="F8" i="36"/>
  <c r="F7" i="36"/>
  <c r="H84" i="44" l="1"/>
  <c r="E84" i="44"/>
  <c r="H58" i="44"/>
  <c r="E58" i="44"/>
  <c r="F59" i="36"/>
  <c r="F61" i="36" s="1"/>
  <c r="H81" i="35" l="1"/>
  <c r="H80" i="35"/>
  <c r="F80" i="35" l="1"/>
  <c r="F33" i="33"/>
  <c r="F63" i="33" l="1"/>
  <c r="F83" i="33" s="1"/>
  <c r="F59" i="33"/>
  <c r="F82" i="33" s="1"/>
  <c r="F51" i="33"/>
  <c r="F81" i="33" s="1"/>
  <c r="B3" i="39"/>
  <c r="F76" i="33" l="1"/>
  <c r="A5" i="42"/>
  <c r="A6" i="42" l="1"/>
  <c r="G96" i="34" l="1"/>
  <c r="I96" i="34"/>
  <c r="D16" i="35" l="1"/>
  <c r="D16" i="43"/>
  <c r="F16" i="43" s="1"/>
  <c r="E82" i="35"/>
  <c r="F12" i="35"/>
  <c r="F8" i="35"/>
  <c r="E70" i="35"/>
  <c r="E72" i="35"/>
  <c r="F80" i="33"/>
  <c r="F87" i="33" s="1"/>
  <c r="H16" i="43" l="1"/>
  <c r="F16" i="44"/>
  <c r="E9" i="35"/>
  <c r="E61" i="35"/>
  <c r="E16" i="44" l="1"/>
  <c r="H16" i="44"/>
  <c r="E63" i="35"/>
  <c r="F76" i="35"/>
  <c r="F77" i="35"/>
  <c r="F78" i="35"/>
  <c r="F79" i="35"/>
  <c r="AE7" i="34"/>
  <c r="F75" i="35" l="1"/>
  <c r="F74" i="35" l="1"/>
  <c r="F82" i="35" s="1"/>
  <c r="AC107" i="34"/>
  <c r="G70" i="35" l="1"/>
  <c r="D35" i="35" l="1"/>
  <c r="F4" i="38"/>
  <c r="F5" i="38" s="1"/>
  <c r="F6" i="38" s="1"/>
  <c r="F7" i="38" s="1"/>
  <c r="F8" i="38" s="1"/>
  <c r="F9" i="38" s="1"/>
  <c r="F10" i="38" s="1"/>
  <c r="F11" i="38" s="1"/>
  <c r="F12" i="38" s="1"/>
  <c r="F13" i="38" s="1"/>
  <c r="F14" i="38" s="1"/>
  <c r="F15" i="38" s="1"/>
  <c r="F16" i="38" s="1"/>
  <c r="F17" i="38" s="1"/>
  <c r="F18" i="38" s="1"/>
  <c r="F19" i="38" s="1"/>
  <c r="F20" i="38" s="1"/>
  <c r="F21" i="38" s="1"/>
  <c r="F22" i="38" s="1"/>
  <c r="F23" i="38" s="1"/>
  <c r="F24" i="38" s="1"/>
  <c r="F25" i="38" s="1"/>
  <c r="F26" i="38" s="1"/>
  <c r="F27" i="38" s="1"/>
  <c r="F28" i="38" s="1"/>
  <c r="F29" i="38" s="1"/>
  <c r="F30" i="38" s="1"/>
  <c r="F31" i="38" s="1"/>
  <c r="F32" i="38" s="1"/>
  <c r="F33" i="38" s="1"/>
  <c r="F34" i="38" s="1"/>
  <c r="F35" i="38" s="1"/>
  <c r="F36" i="38" s="1"/>
  <c r="F37" i="38" s="1"/>
  <c r="F38" i="38" s="1"/>
  <c r="F39" i="38" s="1"/>
  <c r="F40" i="38" s="1"/>
  <c r="F41" i="38" s="1"/>
  <c r="B4" i="39" l="1"/>
  <c r="E46" i="38"/>
  <c r="H35" i="35" l="1"/>
  <c r="F35" i="35"/>
  <c r="H75" i="35"/>
  <c r="O96" i="34"/>
  <c r="M96" i="34"/>
  <c r="N96" i="34"/>
  <c r="AD96" i="34"/>
  <c r="Q96" i="34"/>
  <c r="E96" i="34"/>
  <c r="C18" i="37"/>
  <c r="D7" i="35" s="1"/>
  <c r="F7" i="35" s="1"/>
  <c r="F9" i="35" s="1"/>
  <c r="B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G72" i="35"/>
  <c r="D70" i="35"/>
  <c r="H8" i="35"/>
  <c r="G61" i="35"/>
  <c r="G9" i="35"/>
  <c r="H12" i="35"/>
  <c r="D26" i="43" l="1"/>
  <c r="F26" i="43" s="1"/>
  <c r="D26" i="35"/>
  <c r="D38" i="35"/>
  <c r="D38" i="43"/>
  <c r="F38" i="43" s="1"/>
  <c r="D28" i="35"/>
  <c r="H28" i="35" s="1"/>
  <c r="D28" i="43"/>
  <c r="F28" i="43" s="1"/>
  <c r="D24" i="35"/>
  <c r="D24" i="43"/>
  <c r="F24" i="43" s="1"/>
  <c r="B6" i="39"/>
  <c r="F26" i="35"/>
  <c r="H33" i="35"/>
  <c r="F33" i="35"/>
  <c r="H34" i="35"/>
  <c r="F34" i="35"/>
  <c r="G63" i="35"/>
  <c r="D18" i="37"/>
  <c r="H7" i="35"/>
  <c r="H9" i="35" s="1"/>
  <c r="D9" i="35"/>
  <c r="S96" i="34"/>
  <c r="W96" i="34"/>
  <c r="T96" i="34"/>
  <c r="V96" i="34"/>
  <c r="H74" i="35"/>
  <c r="H79" i="35"/>
  <c r="Z96" i="34"/>
  <c r="R96" i="34"/>
  <c r="Y96" i="34"/>
  <c r="AC96" i="34"/>
  <c r="J96" i="34"/>
  <c r="L96" i="34"/>
  <c r="X96" i="34"/>
  <c r="U96" i="34"/>
  <c r="K96" i="34"/>
  <c r="P96" i="34"/>
  <c r="F96" i="34"/>
  <c r="F98" i="34" s="1"/>
  <c r="H96" i="34"/>
  <c r="AA96" i="34"/>
  <c r="H77" i="35"/>
  <c r="H78" i="35"/>
  <c r="F26" i="44" l="1"/>
  <c r="H26" i="43"/>
  <c r="H24" i="43"/>
  <c r="F24" i="44"/>
  <c r="H38" i="43"/>
  <c r="F38" i="44"/>
  <c r="H28" i="43"/>
  <c r="F28" i="44"/>
  <c r="D53" i="35"/>
  <c r="H53" i="35" s="1"/>
  <c r="D53" i="43"/>
  <c r="F53" i="43" s="1"/>
  <c r="D42" i="35"/>
  <c r="F42" i="35" s="1"/>
  <c r="D42" i="43"/>
  <c r="F42" i="43" s="1"/>
  <c r="D22" i="35"/>
  <c r="D22" i="43"/>
  <c r="F22" i="43" s="1"/>
  <c r="D55" i="35"/>
  <c r="F55" i="35" s="1"/>
  <c r="D55" i="43"/>
  <c r="F55" i="43" s="1"/>
  <c r="D14" i="35"/>
  <c r="F14" i="35" s="1"/>
  <c r="D14" i="43"/>
  <c r="D46" i="35"/>
  <c r="D46" i="43"/>
  <c r="F46" i="43" s="1"/>
  <c r="D49" i="35"/>
  <c r="H49" i="35" s="1"/>
  <c r="D49" i="43"/>
  <c r="F49" i="43" s="1"/>
  <c r="D40" i="35"/>
  <c r="F40" i="35" s="1"/>
  <c r="D40" i="43"/>
  <c r="F40" i="43" s="1"/>
  <c r="D30" i="35"/>
  <c r="H30" i="35" s="1"/>
  <c r="D30" i="43"/>
  <c r="F30" i="43" s="1"/>
  <c r="D20" i="35"/>
  <c r="F20" i="35" s="1"/>
  <c r="D20" i="43"/>
  <c r="F20" i="43" s="1"/>
  <c r="D44" i="35"/>
  <c r="F44" i="35" s="1"/>
  <c r="D44" i="43"/>
  <c r="F44" i="43" s="1"/>
  <c r="D50" i="35"/>
  <c r="F50" i="35" s="1"/>
  <c r="D50" i="43"/>
  <c r="F50" i="43" s="1"/>
  <c r="D59" i="35"/>
  <c r="D59" i="43"/>
  <c r="D39" i="35"/>
  <c r="F39" i="35" s="1"/>
  <c r="D39" i="43"/>
  <c r="F39" i="43" s="1"/>
  <c r="F28" i="35"/>
  <c r="H26" i="35"/>
  <c r="F16" i="35"/>
  <c r="B7" i="39"/>
  <c r="H57" i="35"/>
  <c r="F97" i="34"/>
  <c r="F99" i="34" s="1"/>
  <c r="F38" i="35"/>
  <c r="AC108" i="34"/>
  <c r="H76" i="35"/>
  <c r="H82" i="35" s="1"/>
  <c r="AE96" i="34"/>
  <c r="G82" i="35"/>
  <c r="E26" i="44" l="1"/>
  <c r="H26" i="44"/>
  <c r="F30" i="35"/>
  <c r="H39" i="35"/>
  <c r="H20" i="43"/>
  <c r="F20" i="44"/>
  <c r="H53" i="43"/>
  <c r="F54" i="44"/>
  <c r="E38" i="44"/>
  <c r="H38" i="44"/>
  <c r="H22" i="43"/>
  <c r="F22" i="44"/>
  <c r="H39" i="43"/>
  <c r="F40" i="44"/>
  <c r="H42" i="43"/>
  <c r="F43" i="44"/>
  <c r="H49" i="43"/>
  <c r="F50" i="44"/>
  <c r="H46" i="43"/>
  <c r="F47" i="44"/>
  <c r="H30" i="43"/>
  <c r="F30" i="44"/>
  <c r="H40" i="43"/>
  <c r="F41" i="44"/>
  <c r="H50" i="43"/>
  <c r="F51" i="44"/>
  <c r="H24" i="44"/>
  <c r="E24" i="44"/>
  <c r="E28" i="44"/>
  <c r="H28" i="44"/>
  <c r="H44" i="43"/>
  <c r="F45" i="44"/>
  <c r="H55" i="43"/>
  <c r="F56" i="44"/>
  <c r="F14" i="43"/>
  <c r="F14" i="44" s="1"/>
  <c r="D61" i="43"/>
  <c r="D63" i="43" s="1"/>
  <c r="H14" i="35"/>
  <c r="D72" i="43"/>
  <c r="F72" i="43" s="1"/>
  <c r="F59" i="43"/>
  <c r="H42" i="35"/>
  <c r="H16" i="35"/>
  <c r="F53" i="35"/>
  <c r="H55" i="35"/>
  <c r="F49" i="35"/>
  <c r="H44" i="35"/>
  <c r="H50" i="35"/>
  <c r="H38" i="35"/>
  <c r="F57" i="35"/>
  <c r="H20" i="35"/>
  <c r="H40" i="35"/>
  <c r="H46" i="35"/>
  <c r="F46" i="35"/>
  <c r="H59" i="35"/>
  <c r="H72" i="35" s="1"/>
  <c r="F59" i="35"/>
  <c r="F72" i="35" s="1"/>
  <c r="F22" i="35"/>
  <c r="H22" i="35"/>
  <c r="D82" i="35"/>
  <c r="D72" i="35"/>
  <c r="H14" i="44" l="1"/>
  <c r="E14" i="44"/>
  <c r="E20" i="44"/>
  <c r="H20" i="44"/>
  <c r="H50" i="44"/>
  <c r="E50" i="44"/>
  <c r="E43" i="44"/>
  <c r="H43" i="44"/>
  <c r="H59" i="43"/>
  <c r="F60" i="44"/>
  <c r="E40" i="44"/>
  <c r="H40" i="44"/>
  <c r="E56" i="44"/>
  <c r="H56" i="44"/>
  <c r="E30" i="44"/>
  <c r="H30" i="44"/>
  <c r="H51" i="44"/>
  <c r="E51" i="44"/>
  <c r="H72" i="43"/>
  <c r="F73" i="44"/>
  <c r="E41" i="44"/>
  <c r="H41" i="44"/>
  <c r="H45" i="44"/>
  <c r="E45" i="44"/>
  <c r="H47" i="44"/>
  <c r="E47" i="44"/>
  <c r="E54" i="44"/>
  <c r="H54" i="44"/>
  <c r="H22" i="44"/>
  <c r="E22" i="44"/>
  <c r="H14" i="43"/>
  <c r="F61" i="43"/>
  <c r="F63" i="43" s="1"/>
  <c r="F91" i="33"/>
  <c r="F92" i="33" s="1"/>
  <c r="B5" i="39"/>
  <c r="B8" i="39" s="1"/>
  <c r="H60" i="44" l="1"/>
  <c r="H62" i="44" s="1"/>
  <c r="H64" i="44" s="1"/>
  <c r="E60" i="44"/>
  <c r="E62" i="44" s="1"/>
  <c r="E64" i="44" s="1"/>
  <c r="H61" i="43"/>
  <c r="H63" i="43" s="1"/>
  <c r="E73" i="44"/>
  <c r="H73" i="44"/>
  <c r="F62" i="44"/>
  <c r="F64" i="44" s="1"/>
  <c r="F24" i="35"/>
  <c r="F61" i="35" s="1"/>
  <c r="F63" i="35" s="1"/>
  <c r="H24" i="35"/>
  <c r="H61" i="35" s="1"/>
  <c r="H63" i="35" s="1"/>
  <c r="D61" i="35"/>
  <c r="B9" i="39" s="1"/>
  <c r="B10" i="39" s="1"/>
  <c r="D63" i="35" l="1"/>
</calcChain>
</file>

<file path=xl/sharedStrings.xml><?xml version="1.0" encoding="utf-8"?>
<sst xmlns="http://schemas.openxmlformats.org/spreadsheetml/2006/main" count="1220" uniqueCount="585">
  <si>
    <t>Ocracoke Township Tourism Development Authority</t>
  </si>
  <si>
    <t>Promote Travel and Tourism</t>
  </si>
  <si>
    <t>Tourism Related</t>
  </si>
  <si>
    <t>Total</t>
  </si>
  <si>
    <t>Expenses</t>
  </si>
  <si>
    <t>Personnel</t>
  </si>
  <si>
    <t>Executive Director</t>
  </si>
  <si>
    <t>Payroll Taxes</t>
  </si>
  <si>
    <t>Medical Benefits</t>
  </si>
  <si>
    <t>Contracted Services</t>
  </si>
  <si>
    <t>Bookkeeping</t>
  </si>
  <si>
    <t>Legal / Audit</t>
  </si>
  <si>
    <t>Ocracoke Preservation Society Funding</t>
  </si>
  <si>
    <t>Insurance</t>
  </si>
  <si>
    <t>OTTDA Office</t>
  </si>
  <si>
    <t>Conferences</t>
  </si>
  <si>
    <t>Total Expenses</t>
  </si>
  <si>
    <t>Net of Revenue and Expenses</t>
  </si>
  <si>
    <t>Total Revenue</t>
  </si>
  <si>
    <t>Revenue</t>
  </si>
  <si>
    <t>Category</t>
  </si>
  <si>
    <t>Website Development</t>
  </si>
  <si>
    <t>Creative Content</t>
  </si>
  <si>
    <t>Use of Accumulated Excess Revenues</t>
  </si>
  <si>
    <t>Public Relations</t>
  </si>
  <si>
    <t>Office Supplies and Equipment</t>
  </si>
  <si>
    <t>Ocracoke Events / Visitor Enhancements</t>
  </si>
  <si>
    <t>Light Station Parking</t>
  </si>
  <si>
    <t>Ocracoke Events / Visitor Enhancements Budget</t>
  </si>
  <si>
    <t>Check #</t>
  </si>
  <si>
    <t>Computer Programs</t>
  </si>
  <si>
    <t>Ocracoke Tourism Development Authority</t>
  </si>
  <si>
    <t>Small Purchases Account</t>
  </si>
  <si>
    <t>Date</t>
  </si>
  <si>
    <t>Description</t>
  </si>
  <si>
    <t>Purpose</t>
  </si>
  <si>
    <t>Credit</t>
  </si>
  <si>
    <t>Debit</t>
  </si>
  <si>
    <t>Search Engine Optimization</t>
  </si>
  <si>
    <t>Other advertising</t>
  </si>
  <si>
    <t>2% Net Occupancy Tax Revenue Collections</t>
  </si>
  <si>
    <t>Photography / Video production</t>
  </si>
  <si>
    <t>Ocracoke Youth Center - Tennis/Pickleball Court</t>
  </si>
  <si>
    <t>First National Bank - Statement Description</t>
  </si>
  <si>
    <t>Social Media Dashboard</t>
  </si>
  <si>
    <t>Grand Total</t>
  </si>
  <si>
    <t>Balance</t>
  </si>
  <si>
    <t>Comments</t>
  </si>
  <si>
    <t>Total Budget</t>
  </si>
  <si>
    <t>Walking Map Production and Printing</t>
  </si>
  <si>
    <t>Walking Map Distribution</t>
  </si>
  <si>
    <t>Hyde County General Ledger Detail</t>
  </si>
  <si>
    <t>Ocracoke Township Tourism Development Authority (Fund 690)</t>
  </si>
  <si>
    <t xml:space="preserve">TOURISM - Account 690-57502-000-000-000000-00 Activity                 </t>
  </si>
  <si>
    <t>JE Date</t>
  </si>
  <si>
    <t>Vendor Name</t>
  </si>
  <si>
    <t>JE Line Description</t>
  </si>
  <si>
    <t>Debit (Credit) Amount</t>
  </si>
  <si>
    <t>Exclude From Analysis</t>
  </si>
  <si>
    <t>To Be Allocated</t>
  </si>
  <si>
    <t>Totals</t>
  </si>
  <si>
    <t>Computer Software - Document Storage</t>
  </si>
  <si>
    <t>Public Relations Total</t>
  </si>
  <si>
    <t>Walking Map Distribution Total</t>
  </si>
  <si>
    <t>OCRACOKE</t>
  </si>
  <si>
    <t>Ocracoke</t>
  </si>
  <si>
    <t xml:space="preserve">OF 2% </t>
  </si>
  <si>
    <t>MONTH</t>
  </si>
  <si>
    <t>3% OF 2%</t>
  </si>
  <si>
    <t>97% OF 2%</t>
  </si>
  <si>
    <t>TOTAL</t>
  </si>
  <si>
    <t>10.3270.0001</t>
  </si>
  <si>
    <t>69.3270.0000</t>
  </si>
  <si>
    <t>JUNE as of 7/31</t>
  </si>
  <si>
    <t>JULY as of 8/31</t>
  </si>
  <si>
    <t>AUGUST as of 9/30</t>
  </si>
  <si>
    <t>SEPTEMBER as of 10/31</t>
  </si>
  <si>
    <t>OCTOBER as of 11/30</t>
  </si>
  <si>
    <t>NOVEMBER as of 12/31</t>
  </si>
  <si>
    <t>DECEMBER as of 1/31</t>
  </si>
  <si>
    <t>JANUARY as of 2/28</t>
  </si>
  <si>
    <t>FEBRUARY as of 3/31</t>
  </si>
  <si>
    <t>MARCH as of 4/30</t>
  </si>
  <si>
    <t>APRIL as of 5/31</t>
  </si>
  <si>
    <t>MAY as of 6/30</t>
  </si>
  <si>
    <t>Computer Software - Email Marketing / Data Collecting</t>
  </si>
  <si>
    <t>No.</t>
  </si>
  <si>
    <t>Deposit</t>
  </si>
  <si>
    <t>Beginning Balance</t>
  </si>
  <si>
    <t>BCBS Total</t>
  </si>
  <si>
    <t>Difference</t>
  </si>
  <si>
    <r>
      <t xml:space="preserve">Debit </t>
    </r>
    <r>
      <rPr>
        <b/>
        <sz val="11"/>
        <color rgb="FFFF0000"/>
        <rFont val="Calibri"/>
        <family val="2"/>
        <scheme val="minor"/>
      </rPr>
      <t>(Credit)</t>
    </r>
    <r>
      <rPr>
        <b/>
        <sz val="11"/>
        <color theme="1"/>
        <rFont val="Calibri"/>
        <family val="2"/>
        <scheme val="minor"/>
      </rPr>
      <t xml:space="preserve"> Amount</t>
    </r>
  </si>
  <si>
    <t>Small Purchases</t>
  </si>
  <si>
    <t>Hyde Ledger</t>
  </si>
  <si>
    <t>Per Summary Financial Statement</t>
  </si>
  <si>
    <t>Hyde Ledger Exclusions</t>
  </si>
  <si>
    <t>Delta Dental Total</t>
  </si>
  <si>
    <r>
      <t xml:space="preserve">Over </t>
    </r>
    <r>
      <rPr>
        <b/>
        <sz val="11"/>
        <color rgb="FFFF0000"/>
        <rFont val="Calibri"/>
        <family val="2"/>
        <scheme val="minor"/>
      </rPr>
      <t>(Under)</t>
    </r>
    <r>
      <rPr>
        <b/>
        <sz val="11"/>
        <color theme="1"/>
        <rFont val="Calibri"/>
        <family val="2"/>
        <scheme val="minor"/>
      </rPr>
      <t xml:space="preserve"> Budget</t>
    </r>
  </si>
  <si>
    <t>Advertising Campaign Funding</t>
  </si>
  <si>
    <t>Executive Director Public Relations</t>
  </si>
  <si>
    <t>Admin Assistant / Social Media Management</t>
  </si>
  <si>
    <t>Computer Programs / Internet / Phone</t>
  </si>
  <si>
    <t>Annual Tram Stop Maintenance and Signage</t>
  </si>
  <si>
    <t>Board Discretionary Pool</t>
  </si>
  <si>
    <t>Funding pool to be allocated based upon opportunities arising during the year</t>
  </si>
  <si>
    <t xml:space="preserve">Pirate Festival </t>
  </si>
  <si>
    <t>Ocracoke Turkey Trot</t>
  </si>
  <si>
    <t>Sponsorship Support for the Ocracoke Turkey Trot Race</t>
  </si>
  <si>
    <t>Worrell 1000 Race</t>
  </si>
  <si>
    <t>Dental Reimbursement</t>
  </si>
  <si>
    <t>Allocated</t>
  </si>
  <si>
    <t>Check</t>
  </si>
  <si>
    <t>N/A</t>
  </si>
  <si>
    <t>N/A Total</t>
  </si>
  <si>
    <t>Total Allocated</t>
  </si>
  <si>
    <r>
      <t xml:space="preserve">Over </t>
    </r>
    <r>
      <rPr>
        <b/>
        <sz val="11"/>
        <color rgb="FFFF0000"/>
        <rFont val="Calibri"/>
        <family val="2"/>
        <scheme val="minor"/>
      </rPr>
      <t>(Under)</t>
    </r>
    <r>
      <rPr>
        <b/>
        <sz val="11"/>
        <color theme="1"/>
        <rFont val="Calibri"/>
        <family val="2"/>
        <scheme val="minor"/>
      </rPr>
      <t xml:space="preserve"> Full Year Budget</t>
    </r>
  </si>
  <si>
    <r>
      <t xml:space="preserve">Over </t>
    </r>
    <r>
      <rPr>
        <b/>
        <sz val="11"/>
        <color rgb="FFFF0000"/>
        <rFont val="Calibri"/>
        <family val="2"/>
        <scheme val="minor"/>
      </rPr>
      <t>(Under)</t>
    </r>
    <r>
      <rPr>
        <b/>
        <sz val="11"/>
        <color theme="1"/>
        <rFont val="Calibri"/>
        <family val="2"/>
        <scheme val="minor"/>
      </rPr>
      <t xml:space="preserve"> Pro-rata Budget</t>
    </r>
  </si>
  <si>
    <t>Postage - Walking Map Distribution</t>
  </si>
  <si>
    <t>Full Year Funding distributed in October 2024</t>
  </si>
  <si>
    <t>Annual bond and director's insurance paid; total less than full year budget</t>
  </si>
  <si>
    <t>Island Accessibility Public Relations Campaign</t>
  </si>
  <si>
    <t>Office Supplies</t>
  </si>
  <si>
    <t>Company Name: Ocracoke Township Tourism Development Authority</t>
  </si>
  <si>
    <t>Company ID: PS694501</t>
  </si>
  <si>
    <t>Employee: Helena R Stevens</t>
  </si>
  <si>
    <t>Sources: 10/9 Selected</t>
  </si>
  <si>
    <t xml:space="preserve">Locations: </t>
  </si>
  <si>
    <t>Regular</t>
  </si>
  <si>
    <t>Gross Pay</t>
  </si>
  <si>
    <t>BCBS - Medical</t>
  </si>
  <si>
    <t>BCBS - Vision</t>
  </si>
  <si>
    <t>Federal Income Tax</t>
  </si>
  <si>
    <t>Medicare</t>
  </si>
  <si>
    <t>North Carolina State Tax</t>
  </si>
  <si>
    <t>Social Security</t>
  </si>
  <si>
    <t>Net Pay</t>
  </si>
  <si>
    <t>Employer Medicare Tax</t>
  </si>
  <si>
    <t>Employer Social Security</t>
  </si>
  <si>
    <t>North Carolina State Unemployment (SUTA)</t>
  </si>
  <si>
    <t>BCBS Withholdings in Payroll versus OTTDA Payroll Account BCBS Payments</t>
  </si>
  <si>
    <t>BCBS Total Charges against the OTTDA Payroll Checking Account</t>
  </si>
  <si>
    <t>Patriot Software Payroll</t>
  </si>
  <si>
    <t>Total Payroll Costs</t>
  </si>
  <si>
    <t>Office Supplies Total</t>
  </si>
  <si>
    <r>
      <t xml:space="preserve">Over </t>
    </r>
    <r>
      <rPr>
        <b/>
        <sz val="11"/>
        <color rgb="FFFF0000"/>
        <rFont val="Calibri"/>
        <family val="2"/>
        <scheme val="minor"/>
      </rPr>
      <t>(Under)</t>
    </r>
    <r>
      <rPr>
        <b/>
        <sz val="11"/>
        <color theme="1"/>
        <rFont val="Calibri"/>
        <family val="2"/>
        <scheme val="minor"/>
      </rPr>
      <t xml:space="preserve">
Pro-rata Budget</t>
    </r>
  </si>
  <si>
    <t>Group By: Totals</t>
  </si>
  <si>
    <t>Transcription software</t>
  </si>
  <si>
    <t>FY 2025/2026 Revenue and Expense Vs. Budget</t>
  </si>
  <si>
    <t>12 Month
Pro-rata
FY 2025 / 2026 Budget</t>
  </si>
  <si>
    <t>Full Year FY 2025 / 2026
Budget</t>
  </si>
  <si>
    <t>FY 2025-2026 - Approved April 11, 2025</t>
  </si>
  <si>
    <t>FY 2025-2026 Notes</t>
  </si>
  <si>
    <t>Conservative assumption: aqmount equal to Projected FY 2024/2025 Collections</t>
  </si>
  <si>
    <t>Amount to balance Rev. with Exp.; need to update as Budget is updated</t>
  </si>
  <si>
    <t>Avenir Bold services discontinued as of June 30, 2025 and advertising managed internally by the OTTDA</t>
  </si>
  <si>
    <t>Continuation of initiatives to promote island accessibility to be coordinated through the OTTDA Board</t>
  </si>
  <si>
    <t>Media missions, public relations and outreach, familarization tours, and misc. support for opportunities that arise throughout the year.  Category coordinated by Executive Director</t>
  </si>
  <si>
    <t>Crisis Communications</t>
  </si>
  <si>
    <t>To be utilized to address unplanned events impacting the Island</t>
  </si>
  <si>
    <t>Assumes $375/month for FY 2025/2026</t>
  </si>
  <si>
    <t>Adding visual map, reformat site to include social imagry</t>
  </si>
  <si>
    <t>To generate source material for the website and publications</t>
  </si>
  <si>
    <t>Annual EWN Airport column wrap, Ocracoke Observer Advertising and Economic Development of NC fee</t>
  </si>
  <si>
    <t>Increase due to increased cost of hiring content creators</t>
  </si>
  <si>
    <t>Dues and Subscriptions</t>
  </si>
  <si>
    <t>Fees asssociated with Economic Development of NC, Public Relations Society of America Memberships, NCTIA and Southeast Tourism Society</t>
  </si>
  <si>
    <t>2.5% cost of living increase plus 7.5% increase for additional marketing, advertising and PR responsibilities</t>
  </si>
  <si>
    <t>Based upon Projected Taxable Wages</t>
  </si>
  <si>
    <t>Assumes 12% increase from FY 2024/2025 Projection</t>
  </si>
  <si>
    <t>Assumes 10% increase based upon past year performance</t>
  </si>
  <si>
    <t>Assumes 10 hours per month @ $30/hour</t>
  </si>
  <si>
    <t>Assumes increased audit expenses for FY 2025/2026</t>
  </si>
  <si>
    <t>Assumes comparable array of programs for managing the business continued in FY 2025/2026 
(storage, photography, communication tools, payroll software, MS Office)</t>
  </si>
  <si>
    <t>Increase due to separate standalone office space</t>
  </si>
  <si>
    <t>Includes annual distribution payment of $990 to Dare Brochures</t>
  </si>
  <si>
    <t>Walking Map Rack Card Displays</t>
  </si>
  <si>
    <t>Vertical Rack Card Displays for the ferries - SeaLevel, Swan Quarter, Cedar Island $250/piece</t>
  </si>
  <si>
    <t>Assumes $1,500 per month for rental of the office space</t>
  </si>
  <si>
    <t>Increase due to increased cost of travel.  Planned conferences include ESTO, Destinations International Marketing and Communications Expo, Visit NC 365, IMM, PRSA Annual Conference, NCTIA)</t>
  </si>
  <si>
    <t>See projected detail below</t>
  </si>
  <si>
    <t>9 stops for FY 2025/2026</t>
  </si>
  <si>
    <t>Assumes 5% contracted increase over previous fiscal year</t>
  </si>
  <si>
    <t>Ocracoke Seafood Marketing Expenses / Videos</t>
  </si>
  <si>
    <t>Ocracoke fishing / aquaculture industry videos to be used in numerous platforms</t>
  </si>
  <si>
    <t>Island Inn Starlink</t>
  </si>
  <si>
    <t>Public Internet Access Hotspot for Island Visitors</t>
  </si>
  <si>
    <t>Advertising, Coordination, Event Entertainment</t>
  </si>
  <si>
    <t>Funding towards the bi-annual event returning to Ocracoke in 2026</t>
  </si>
  <si>
    <t>2025-2026</t>
  </si>
  <si>
    <t>FY 2025/2026 Medical Insurance Costs Reconciliation</t>
  </si>
  <si>
    <t>BCBS NC GRP DRAFT T36663104</t>
  </si>
  <si>
    <t>Patriot Software PAYROLL P28448128</t>
  </si>
  <si>
    <t>NORTH CAROLIN DESTAXPYMT 000000005373955</t>
  </si>
  <si>
    <t>IRS USATAXPYMT 270559611277915</t>
  </si>
  <si>
    <t>NC DEPT REVENUE TAX PYMT 043000096040048</t>
  </si>
  <si>
    <t>Patriot Software PAYROLL P28791041</t>
  </si>
  <si>
    <t>352892 INTERNET XFER TO BUSINESS CHECKING XXXXXX3633 ON 8/01/25 AT 15:52</t>
  </si>
  <si>
    <t>BCBS NC GRP DRAFT T37073064</t>
  </si>
  <si>
    <t>Patriot Software PAYROLL P29092948</t>
  </si>
  <si>
    <t>IRS USATAXPYMT 270562713043342</t>
  </si>
  <si>
    <t>716865 INTERNET XFER TO BUSINESS CHECKING XXXXXX3633 ON 8/20/25 AT 10:34</t>
  </si>
  <si>
    <t>Patriot Software PAYROLL P29366983</t>
  </si>
  <si>
    <t>165502 INTERNET XFER TO BUSINESS CHECKING XXXXXX3633 ON 8/29/25 AT 14:36</t>
  </si>
  <si>
    <t>Report Start Date: 7/1/2025</t>
  </si>
  <si>
    <t>88807 RECURRING 07/23 02:27 Mailchimp 678-9990141 GA 00000000 088807 ~5818</t>
  </si>
  <si>
    <t>78693 RECURRING 07/22 15:37 OTTER.AI OTTER.AI CA SEATLOQF 078693 ~5734</t>
  </si>
  <si>
    <t>74312 RECURRING 07/28 18:50 DROPBOX*SPF94966 DROPBOX.COM CA 00000000 0743~4816</t>
  </si>
  <si>
    <t>23607 RECURRING 08/23 02:27 Mailchimp 678-9990141 GA 00000000 023607 ~5818</t>
  </si>
  <si>
    <t>30275 RECURRING 08/22 15:37 OTTER.AI OTTER.AI CA SEATLOQF 030275 ~5734</t>
  </si>
  <si>
    <t>11431 RECURRING 08/28 18:57 DROPBOX*NZXXSXF1 DROPBOX.COM CA 00000000 0114~4816</t>
  </si>
  <si>
    <t>352892 INTERNET XFER FR BUSINESS CHECKING XXXXXX5777 ON 8/01/25 AT 15:52</t>
  </si>
  <si>
    <t>716865 INTERNET XFER FR BUSINESS CHECKING XXXXXX5777 ON 8/20/25 AT 10:34</t>
  </si>
  <si>
    <t>165502 INTERNET XFER FR BUSINESS CHECKING XXXXXX5777 ON 8/29/25 AT 14:36</t>
  </si>
  <si>
    <t>30739 POS PUR 07/29 18:35 STAPLES 00 NAGS HEAD NC 002 030739 ~5943</t>
  </si>
  <si>
    <t>Mailers, office supplies for TDA office</t>
  </si>
  <si>
    <t>Computer Programs / Internet / Phone Total</t>
  </si>
  <si>
    <t>92978 POS PUR 08/01 12:14 ATT* BILL PAYMEN 800-331-0500 TX 0001 092978 ~4814</t>
  </si>
  <si>
    <t>Internet/Phone</t>
  </si>
  <si>
    <t xml:space="preserve">Phone/Internet </t>
  </si>
  <si>
    <t>50656 RECURRING 08/28 09:52 CONVERGED TELEPH 877-6957651 FL 75640449 0506~4899</t>
  </si>
  <si>
    <t>86834 POS PUR 08/27 09:58 ATT* BILL PAYMEN 800-331-0500 TX 0001 086834 ~4814</t>
  </si>
  <si>
    <t>78723 POS PUR 07/23 01:30 SENDIBLE.COM LONDON GB 6PCNXTTS 078723 ~7399</t>
  </si>
  <si>
    <t>7372 POS PUR 08/23 01:29 SENDIBLE.COM LONDON GB 6PCNXTTS 007372 ~7399</t>
  </si>
  <si>
    <t>10517 POS PUR 08/07 21:52 FLYING MELON RES OCRACOKE NC 75919739 010517 ~5812</t>
  </si>
  <si>
    <t>TV production crew - meals</t>
  </si>
  <si>
    <t>Video Production</t>
  </si>
  <si>
    <t>12128 POS PUR 08/08 13:32 DAJIO OCRACOKE NC 00G61051 012128 ~5812</t>
  </si>
  <si>
    <t>Video Production Total</t>
  </si>
  <si>
    <t>93611 POS PUR 07/24 20:39 USPS PO 36569604 OCRACOKE NC 00000000 093611 ~9402</t>
  </si>
  <si>
    <t>97053 POS PUR 08/01 20:19 USPS PO 36569604 OCRACOKE NC 00000000 097053 ~9402</t>
  </si>
  <si>
    <t>OTTDA Payroll Account Rollforward FY 2025/2026</t>
  </si>
  <si>
    <t>OCRACOKE WALKING MAP DISTRIBUT</t>
  </si>
  <si>
    <t>JULY 2025 RENT</t>
  </si>
  <si>
    <t>FY 25/26 TDA PORTION ISLAND IN</t>
  </si>
  <si>
    <t>COMMUNICATIONS AND PR SERVICES</t>
  </si>
  <si>
    <t>EXPENSE REIMBURSEMENT</t>
  </si>
  <si>
    <t>OTTDA JULY 2025 MONTHLY SERVIC</t>
  </si>
  <si>
    <t>AUGUST 2025 OTTDA RENT</t>
  </si>
  <si>
    <t>JULY 2025 OTTDA TRASH PICKUP</t>
  </si>
  <si>
    <t>JULY 2025 OTTDA OFFICE RENT</t>
  </si>
  <si>
    <t>BOOKKEEPING SERVICES &amp; QUICKBO</t>
  </si>
  <si>
    <t>2025/2026 PAYROLL FUNDING REQU</t>
  </si>
  <si>
    <t>OTTDA</t>
  </si>
  <si>
    <t>AUGUST PARKING LOT RENT</t>
  </si>
  <si>
    <t>JULY 2025 SEO SERVICES</t>
  </si>
  <si>
    <t>SEPTEMBER 2025 PARKING LOT REN</t>
  </si>
  <si>
    <t>PARTICIPATION IN IN-STATE MEDI</t>
  </si>
  <si>
    <t>OTTDA-TELECOMMUNICATIONS SERVI</t>
  </si>
  <si>
    <t>AUGUST 2025 TRASH PICK UP</t>
  </si>
  <si>
    <t>ADMINISTRATIVE ASSISTANCE</t>
  </si>
  <si>
    <t>SEPTEMBER OFFICE RENT</t>
  </si>
  <si>
    <t>DARE BROCHURE DISTRIBUTORS</t>
  </si>
  <si>
    <t>NANA &amp; PAPA 314 LLC</t>
  </si>
  <si>
    <t>OCRACOKE PRESERVATION SO</t>
  </si>
  <si>
    <t>MARTIN ARMES COMMUNICATIONS</t>
  </si>
  <si>
    <t>STEVENS, HELENA R.</t>
  </si>
  <si>
    <t>CTN GROUP INC</t>
  </si>
  <si>
    <t>804 IRVIN LLC</t>
  </si>
  <si>
    <t>FLORES, JOSE RENE</t>
  </si>
  <si>
    <t>DIPPOLD, JEFFREY R.</t>
  </si>
  <si>
    <t>OCRACOKE TOWNSHIP TOURIS</t>
  </si>
  <si>
    <t>DECKER, ROBERT LEE III</t>
  </si>
  <si>
    <t>ECONOMIC DEVELOPMENT OF NC</t>
  </si>
  <si>
    <t>ALY, MONA</t>
  </si>
  <si>
    <t>Excluded</t>
  </si>
  <si>
    <t>Full year funding paid in July 2025</t>
  </si>
  <si>
    <t>Annual Dare Brochure Distributors payment of $990 made in July 2025</t>
  </si>
  <si>
    <t>FY 2025/2026 Ocracoke Events / Visitor Enhancements</t>
  </si>
  <si>
    <t>WEBSITE SERVICES</t>
  </si>
  <si>
    <t>TELECOMMUNICATION SERVICES OTT</t>
  </si>
  <si>
    <t>TOURISM MARKETING</t>
  </si>
  <si>
    <t>CPA SERVICES AUGUST 2025</t>
  </si>
  <si>
    <t>SMALL PURCHASE ACCOUNT REIMB</t>
  </si>
  <si>
    <t>MAY 2025 FOR CHECKS NOT RECVD</t>
  </si>
  <si>
    <t>OTTDA RENT</t>
  </si>
  <si>
    <t>REWRITTEN CHECK FOR OTTDA</t>
  </si>
  <si>
    <t>REIMB- SOFTWARE SUBSCRIPTIONS</t>
  </si>
  <si>
    <t>OS PRESS LLC</t>
  </si>
  <si>
    <t>TUELL, AARON</t>
  </si>
  <si>
    <t>78244 POS PUR 08/29 19:16 USPS PO 36569604 OCRACOKE NC 00000000 078244 ~9402</t>
  </si>
  <si>
    <t>68190 RECURRING 09/03 12:56 VMO*VIMEO.COM 848-359-5618 NY 00000000 068190~8699</t>
  </si>
  <si>
    <t>Annual cost for software used for video editing for the Ocracoke Island website and social media</t>
  </si>
  <si>
    <t>Video</t>
  </si>
  <si>
    <t>661342 INTERNET XFER TO BUSINESS CHECKING XXXXXX5777 ON 9/27/25 AT 9:28</t>
  </si>
  <si>
    <t>86139 POS PUR 09/23 01:29 SENDIBLE.COM LONDON GB 6PCNXTTS 086139 ~7399</t>
  </si>
  <si>
    <t>71307 RECURRING 09/23 02:28 Mailchimp 678-9990141 GA 00000000 071307 ~5818</t>
  </si>
  <si>
    <t>83100 RECURRING 09/22 15:37 OTTER.AI OTTER.AI CA SEATLOQF 083100 ~5734</t>
  </si>
  <si>
    <t>66922 RECURRING 09/28 18:49 DROPBOX*62NQVXG3 DROPBOX.COM CA 00000000 0669~4816</t>
  </si>
  <si>
    <t>Agrees to Small Purchases Account Analysis Spreadsheet (Total - Info Only amount) for the applicable month end</t>
  </si>
  <si>
    <t>BCBS NC GRP DRAFT T37482432</t>
  </si>
  <si>
    <t>Withdrawal</t>
  </si>
  <si>
    <t>Patriot Software PAYROLL P29677891</t>
  </si>
  <si>
    <t>IRS USATAXPYMT 270565824987495</t>
  </si>
  <si>
    <t>Patriot Software PAYROLL P29980140</t>
  </si>
  <si>
    <t>661342 INTERNET XFER FR BUSINESS CHECKING XXXXXX3633 ON 9/27/25 AT 9:28</t>
  </si>
  <si>
    <t>Withdrawal - Delta Dental Reimbursement Transfer made to Helena Stevens</t>
  </si>
  <si>
    <t>Full year Dental Insurance of $616 paid in September 2025</t>
  </si>
  <si>
    <t>IRS USATAXPYMT 270567441858293</t>
  </si>
  <si>
    <t>NC DEPT REVENUE TAX PYMT 043000098078016</t>
  </si>
  <si>
    <t>NORTH CAROLIN DESTAXPYMT 000000005494027</t>
  </si>
  <si>
    <t>BCBS NC GRP DRAFT T37740136</t>
  </si>
  <si>
    <t>Patriot Software PAYROLL P30278983</t>
  </si>
  <si>
    <t>533103 INTERNET XFER FR BUSINESS CHECKING XXXXXX3633 ON 10/18/25 AT 8:25</t>
  </si>
  <si>
    <t>Patriot Software PAYROLL P30636938</t>
  </si>
  <si>
    <t>84458 POS PUR 09/30 03:10 ATT* BILL PAYMEN 800-331-0500 TX 0001 084458 ~4814</t>
  </si>
  <si>
    <t>99061 POS PUR 10/23 01:30 SENDIBLE.COM LONDON GB 6PCNXTTS 099061 ~7399</t>
  </si>
  <si>
    <t>50107 RECURRING 10/23 02:27 Mailchimp 678-9990141 GA 00000000 050107 ~5818</t>
  </si>
  <si>
    <t>70742 RECURRING 10/22 15:36 OTTER.AI OTTER.AI CA SEATLOQF 070742 ~5734</t>
  </si>
  <si>
    <t>9199 RECURRING 10/28 18:48 DROPBOX*7HGFCVV8 DROPBOX.COM CA 00000000 0091~4816</t>
  </si>
  <si>
    <t>85908 POS PUR 10/29 16:09 Chalk Gibbs Inc Morehead City NC 00000000 08~6300</t>
  </si>
  <si>
    <t>Insurance Total</t>
  </si>
  <si>
    <t>BUSINESS TRAVEL EXPENSE REIMB-</t>
  </si>
  <si>
    <t>ADMINISTRATIVE ASSISTANCE MEET</t>
  </si>
  <si>
    <t>BOOKKEEPING SERVICES</t>
  </si>
  <si>
    <t>FY 25/26 2ND QTR PAYROLL</t>
  </si>
  <si>
    <t>SEPTEMBER 2025 TRASH PICKUP</t>
  </si>
  <si>
    <t>CLOUD SERVICES OCTOBER 2025</t>
  </si>
  <si>
    <t>REVIEW OTTDA FILES, DICTATION</t>
  </si>
  <si>
    <t>SEO SERVICES</t>
  </si>
  <si>
    <t>ADVERTISING SERVICES</t>
  </si>
  <si>
    <t>NOVEMBER 2025 RENT</t>
  </si>
  <si>
    <t>NOVEMBER OFFICE RENT</t>
  </si>
  <si>
    <t>OTTDA MEMBERSHIP DUES 25/26</t>
  </si>
  <si>
    <t>OTTDA INSURANCE</t>
  </si>
  <si>
    <t>TDA FUNDS</t>
  </si>
  <si>
    <t>OTTDA DUES</t>
  </si>
  <si>
    <t>WHELESS &amp; WHELESS, PLLC</t>
  </si>
  <si>
    <t>NEXSTAR MEDIA, INC</t>
  </si>
  <si>
    <t>NCTIA</t>
  </si>
  <si>
    <t>CHALK &amp; GIBBS INC</t>
  </si>
  <si>
    <t>OCRACOKE ACCESS ALLIANCE</t>
  </si>
  <si>
    <t>SOUTHEAST TOURISM SOCIETY</t>
  </si>
  <si>
    <t>Office Property Insurance</t>
  </si>
  <si>
    <t>Walking Map</t>
  </si>
  <si>
    <t>IRS USATAXPYMT 270570720850982</t>
  </si>
  <si>
    <t>BCBS NC GRP DRAFT T37762940</t>
  </si>
  <si>
    <t>Patriot Software PAYROLL P30931820</t>
  </si>
  <si>
    <t>329780 INTERNET XFER TO BUSINESS CHECKING XXXXXX3633 ON 11/11/25 AT 13:41</t>
  </si>
  <si>
    <t>Patriot Software PAYROLL P31205379</t>
  </si>
  <si>
    <t>Actual represents payment to Ocracoke Access Alliance</t>
  </si>
  <si>
    <t>$15K Ocracoke Access Alliance pymt.  Additional $10K from Public Relations categories</t>
  </si>
  <si>
    <t>92904 RECURRING 11/09 06:21 ATT* BILL PAYMEN 800-331-0500 TX 0001 092904 ~4814</t>
  </si>
  <si>
    <t>329780 INTERNET XFER FR BUSINESS CHECKING XXXXXX5777 ON 11/11/25 AT 13:41</t>
  </si>
  <si>
    <t>50008 POS PUR 11/11 14:26 Chalk Gibbs Inc Morehead City NC 00000000 05~6300</t>
  </si>
  <si>
    <t>General Liability Insurance</t>
  </si>
  <si>
    <t>30644 POS PUR 11/23 00:30 SENDIBLE.COM HACKNEY GB 6PCNXTTS 030644 ~7399</t>
  </si>
  <si>
    <t>14207 RECURRING 11/23 01:26 Mailchimp 678-9990141 GA 00000000 014207 ~5818</t>
  </si>
  <si>
    <t>95456 RECURRING 11/22 14:37 OTTER.AI OTTER.AI CA SEATLOQF 095456 ~5734</t>
  </si>
  <si>
    <t>Activity 7/1/25 - 11/30/25</t>
  </si>
  <si>
    <t>OUTER BANKS THIS WEEK</t>
  </si>
  <si>
    <t>OCRACOKE CIVIC &amp; BUS ASSOC I</t>
  </si>
  <si>
    <t>DAVIS, LUKE</t>
  </si>
  <si>
    <t>2026 WALKING MAPS</t>
  </si>
  <si>
    <t>OCTOBER 2025 FINANCIAL MANAGEM</t>
  </si>
  <si>
    <t>DECEMBER 2025 RENT</t>
  </si>
  <si>
    <t>DECEMBER 2025 RENT FOR OTTDA O</t>
  </si>
  <si>
    <t>FY 25/26 2% OCCUPANCY TAX FUND</t>
  </si>
  <si>
    <t>ADMIN ASSISTANCE OTTDA</t>
  </si>
  <si>
    <t>PARTNERSHIP IN 2026 VISIT NC T</t>
  </si>
  <si>
    <t>VIDEO PRODUCTION SERVICES</t>
  </si>
  <si>
    <t>Advertising, Coordination, Event Entertainment for October/November 2025 Event</t>
  </si>
  <si>
    <t>50% production payment made in November 2025</t>
  </si>
  <si>
    <t>Annual Property and General Liability policy payments have been made</t>
  </si>
  <si>
    <t>Expenses per the Actual vs. Budget Report Reconciliation</t>
  </si>
  <si>
    <t>Bi-annual event not returning to Ocracoke until 2027</t>
  </si>
  <si>
    <t>Actual Through 12/31/25</t>
  </si>
  <si>
    <t>871352 INTERNET XFER FR BUSINESS CHECKING XXXXXX3633 ON 11/29/25 AT 13:45</t>
  </si>
  <si>
    <t>IRS USATAXPYMT 270573621767537</t>
  </si>
  <si>
    <t>BCBS NC GRP DRAFT T37782682</t>
  </si>
  <si>
    <t>Patriot Software PAYROLL P31528685</t>
  </si>
  <si>
    <t>Patriot Software PAYROLL P31907661</t>
  </si>
  <si>
    <t>Percentage of full year $500K Budget</t>
  </si>
  <si>
    <t>Strong YTD actual revenue collections (84.8% of the full year budget)</t>
  </si>
  <si>
    <t>Report End Date: 12/31/2025</t>
  </si>
  <si>
    <t>Current Date: 1/12/2026</t>
  </si>
  <si>
    <t>871352 INTERNET XFER TO BUSINESS CHECKING XXXXXX5777 ON 11/29/25 AT 13:45</t>
  </si>
  <si>
    <t>9799 RECURRING 11/28 18:51 DROPBOX*3M2R7T8L DROPBOX.COM CA 00000000 0097~4816</t>
  </si>
  <si>
    <t>95192 RECURRING 12/09 07:45 ATT* BILL PAYMEN KH4589@ATT.CO TX 00000000 09~4814</t>
  </si>
  <si>
    <t>20618 POS PUR 12/23 00:30 SENDIBLE.COM HACKNEY GB 6PCNXTTS 020618 ~7399</t>
  </si>
  <si>
    <t>59407 RECURRING 12/23 01:26 Mailchimp 678-9990141 GA 00000000 059407 ~5818</t>
  </si>
  <si>
    <t>8531 RECURRING 12/22 14:37 OTTER.AI OTTER.AI CA SEATLOQF 008531 ~5734</t>
  </si>
  <si>
    <t>95208 RECURRING 12/23 17:38 CONVERGED TELEPH 877-6957651 FL 75640449 0952~4899</t>
  </si>
  <si>
    <t>94796 RECURRING 12/28 19:11 DROPBOX 1BMLB7VB DROPBOX.COM CA 00000000 0947~4816</t>
  </si>
  <si>
    <t>Total Medical per Patriot Software Worksheet (Employer and Employee costs)</t>
  </si>
  <si>
    <t>JANSON, MATTHEW D.</t>
  </si>
  <si>
    <t>WALDROP, KATHRYN</t>
  </si>
  <si>
    <t>BELLWETHER MEDIA, LLC</t>
  </si>
  <si>
    <t>OCRACOKE ISLAND RUNNING CLUB</t>
  </si>
  <si>
    <t>OCRACOKE OBSERVER</t>
  </si>
  <si>
    <t>TRAVMEDIA USA LLC</t>
  </si>
  <si>
    <t>TWEEDIE, DAVID</t>
  </si>
  <si>
    <t>BLOG POST OTTDA</t>
  </si>
  <si>
    <t>OTTDA WEBSITE WORK</t>
  </si>
  <si>
    <t>ADMINISTRATIVE ASSISTANCE 7/1-</t>
  </si>
  <si>
    <t>HOTEL ROOM REIMB</t>
  </si>
  <si>
    <t>MONTHLY SOCIAL MEDIA MANAGEMEN</t>
  </si>
  <si>
    <t>OTTDA 2025 TURKEY TROT EVENT S</t>
  </si>
  <si>
    <t>PIRATE JAMBOREE AD- OCTOBER 20</t>
  </si>
  <si>
    <t>OTTDA WEBSITE HOSTING</t>
  </si>
  <si>
    <t>TRASH OTTDA SERVICES</t>
  </si>
  <si>
    <t>NOVEMBER 25 ACCOUNTING SERVICE</t>
  </si>
  <si>
    <t>HOTEL ROOM REIMB FOR IMM 2026</t>
  </si>
  <si>
    <t>SOCIAL MEDIA CAMPAIGN</t>
  </si>
  <si>
    <t>OTTDA SERVICES</t>
  </si>
  <si>
    <t>OTTDA GRANT REIMB</t>
  </si>
  <si>
    <t>2 DAYS: IMM NYC &amp; THE TRAV MED</t>
  </si>
  <si>
    <t>OTTDA TRASH SERVICE</t>
  </si>
  <si>
    <t>OTTDA REIMB.</t>
  </si>
  <si>
    <t>7 months rent of $1,400 / month actually paid through 12/31/25</t>
  </si>
  <si>
    <t>9 stops for FY 2025/2026; 6 months paid through 12/31/25</t>
  </si>
  <si>
    <t>5% contracted increase over previous fiscal year and 6 months paid through 12/31/25</t>
  </si>
  <si>
    <t>July 2025 - December 2025</t>
  </si>
  <si>
    <t>As of December 31, 2025 - prepared 2026-01-28</t>
  </si>
  <si>
    <t>6 Month Projection</t>
  </si>
  <si>
    <t>Projected FY 2025/2026 Total</t>
  </si>
  <si>
    <t>Projected FY 2025/2026 Revenue and Expense Vs. Budget</t>
  </si>
  <si>
    <t>Per December 2025 Occupancy Tax Collection Projection</t>
  </si>
  <si>
    <t>FY 2026-2027 Budget versus 2025/2026 Projection</t>
  </si>
  <si>
    <t>DRAFT - FY 2026/2027 Budget</t>
  </si>
  <si>
    <t>FY 2026/2027 Ocracoke Events / Visitor Enhancements</t>
  </si>
  <si>
    <t>Expense Allocation Percentages</t>
  </si>
  <si>
    <t>Projection total is $1,400 for 12 months</t>
  </si>
  <si>
    <t>$1,600 per month for 12 months</t>
  </si>
  <si>
    <t>Funding amount remains the same for FY 2026/2027</t>
  </si>
  <si>
    <t>2.8% cost of living and adj. to match NC Travel Industry Assoc. peer entity average</t>
  </si>
  <si>
    <t>Mid point between FY 24/25 actual and FY 25/26 Projection</t>
  </si>
  <si>
    <t>Media One contracted for FY 25/26</t>
  </si>
  <si>
    <t>Media missions, public relations and outreach, familarization tours, and 
misc. support for opportunities that arise throughout the year.  Plus $10K for contracted PR services.  Category coordinated by Executive Director</t>
  </si>
  <si>
    <t>Anticipated addition of automated visitor inquiry response tools in the website</t>
  </si>
  <si>
    <t>Annual EWN Airport column wrap, Ocracoke Observer Advertising and Economic Development of NC fee and Wavy TV social media advertising</t>
  </si>
  <si>
    <t>Social media content support, blog posts and editorial content, influencer partnerships</t>
  </si>
  <si>
    <t>Bellwether Media social media content production</t>
  </si>
  <si>
    <t>Social Media Content</t>
  </si>
  <si>
    <t>To generate source material for the website, social and print media and TV segments and Belwether Media content visits</t>
  </si>
  <si>
    <t>Local admin /social media support</t>
  </si>
  <si>
    <t>Anticipated website hosting and support</t>
  </si>
  <si>
    <t>Industry memberships / trade publication subscriptions: Economic Development of NC, Public Relations Society of America Memberships, NCTIA and SE Tourism Society</t>
  </si>
  <si>
    <t>Assumes additional audit fees</t>
  </si>
  <si>
    <t>Item</t>
  </si>
  <si>
    <t>Monthly Cost</t>
  </si>
  <si>
    <t>Evernote</t>
  </si>
  <si>
    <t>Microsoft Office 365</t>
  </si>
  <si>
    <t>Sendible</t>
  </si>
  <si>
    <t>Mailchimp</t>
  </si>
  <si>
    <t>Patriot Software</t>
  </si>
  <si>
    <t>Includes contingency for potential office change</t>
  </si>
  <si>
    <t>Property insurance increase anticipated per Chalk &amp; Gibbs</t>
  </si>
  <si>
    <t>Wages subjected to Social Security and Medicare</t>
  </si>
  <si>
    <t>Employer Social Security @ 6.20 %</t>
  </si>
  <si>
    <t>Employer Medicare @ 1.45%</t>
  </si>
  <si>
    <t>Total Employer Taxes</t>
  </si>
  <si>
    <t>FY 2026/2027 Employer Taxes - Projection for Budget</t>
  </si>
  <si>
    <t>FY 2026/2027 Gross Pay</t>
  </si>
  <si>
    <t>Report Start Date: 1/1/2026</t>
  </si>
  <si>
    <t>Report End Date: 1/31/2026</t>
  </si>
  <si>
    <t>Current Date: 1/15/2026</t>
  </si>
  <si>
    <t>6 months</t>
  </si>
  <si>
    <t>Employer</t>
  </si>
  <si>
    <t>Employee</t>
  </si>
  <si>
    <t>4 months</t>
  </si>
  <si>
    <t>2 months</t>
  </si>
  <si>
    <t>12% increase</t>
  </si>
  <si>
    <t>Total Projection</t>
  </si>
  <si>
    <t>Employer Taxes</t>
  </si>
  <si>
    <t>Employee Taxible Wages</t>
  </si>
  <si>
    <t>6 months of January charges</t>
  </si>
  <si>
    <t>Employee BCBS - Medical</t>
  </si>
  <si>
    <t>Employee BCBS - Vision</t>
  </si>
  <si>
    <t>NC Unemployment Taxes @ .74% of first $34,200 of taxable wages</t>
  </si>
  <si>
    <t>Detailed Software, Phone, and Internet Charges (Budget Preparation)</t>
  </si>
  <si>
    <t>1. Telecommunications &amp; Internet (Recurring Monthly)</t>
  </si>
  <si>
    <t>Annual Total</t>
  </si>
  <si>
    <t>Evidence / Source</t>
  </si>
  <si>
    <t>Cell Phone Stipend</t>
  </si>
  <si>
    <t>Per Employment Agreement.</t>
  </si>
  <si>
    <t>Starlink Internet</t>
  </si>
  <si>
    <t>Service for 804 Irvin Garrish Hwy.</t>
  </si>
  <si>
    <t>Converged Cloud Services</t>
  </si>
  <si>
    <t>VoIP/Cloud phone system.</t>
  </si>
  <si>
    <t>AT&amp;T Wireless Internet</t>
  </si>
  <si>
    <t>Internet service</t>
  </si>
  <si>
    <t>Subtotal</t>
  </si>
  <si>
    <t>2. Direct Software Charges (Paid via Small Purchases Card)</t>
  </si>
  <si>
    <t>Social Media Management Dashboard.</t>
  </si>
  <si>
    <t>Email Marketing Platform.</t>
  </si>
  <si>
    <t>Dropbox Standard</t>
  </si>
  <si>
    <t>Business Document Storage.</t>
  </si>
  <si>
    <t>Payroll Processing Fee.</t>
  </si>
  <si>
    <t>Monthly Software Subscriptions</t>
  </si>
  <si>
    <t>These are recurring charges found on personal credit cards that require monthly reimbursement requests.</t>
  </si>
  <si>
    <t>Adobe Acrobat Studio</t>
  </si>
  <si>
    <t>PDF &amp; Creative Tools.</t>
  </si>
  <si>
    <t>Claude Pro (Anthropic)</t>
  </si>
  <si>
    <t>AI Writing Assistant.</t>
  </si>
  <si>
    <t>ChatGPT Plus</t>
  </si>
  <si>
    <t>AI Research &amp; Chat.</t>
  </si>
  <si>
    <t>Dropbox Essentials</t>
  </si>
  <si>
    <t>Personal Backup/Storage.</t>
  </si>
  <si>
    <t>Apple One Premier</t>
  </si>
  <si>
    <t>Tourism/Industry Research/cloud storage/news</t>
  </si>
  <si>
    <t>4. Annual Subscriptions &amp; Specialized Tools</t>
  </si>
  <si>
    <t>Perplexity Pro</t>
  </si>
  <si>
    <t>AI Search Engine.</t>
  </si>
  <si>
    <t>Grammarly</t>
  </si>
  <si>
    <t>Communications Polish.</t>
  </si>
  <si>
    <t>Office Suite.</t>
  </si>
  <si>
    <t>Note-taking/Archiving.</t>
  </si>
  <si>
    <t>Summary for Budget Planning</t>
  </si>
  <si>
    <t>Total Recurring Annual Software/Telecom</t>
  </si>
  <si>
    <t>Current Budget (Acct 690-57502)</t>
  </si>
  <si>
    <t>Projected Variance (Over) / Under Budget</t>
  </si>
  <si>
    <t>Under utilization of budget results in additional carry over of excess reserves</t>
  </si>
  <si>
    <t>Additional usage of cloud, AI and communications softwares</t>
  </si>
  <si>
    <t>Vendor has communicated $450 monthly charge going forward</t>
  </si>
  <si>
    <t>Conference/Event</t>
  </si>
  <si>
    <t>Cost</t>
  </si>
  <si>
    <t>IMM Media Market Place</t>
  </si>
  <si>
    <t>ESTO Conference</t>
  </si>
  <si>
    <t>Marketing &amp; Communications Summit</t>
  </si>
  <si>
    <t>PRSA Travel &amp; Tourism Conference</t>
  </si>
  <si>
    <t>Travel South (April)</t>
  </si>
  <si>
    <t>NY Media Mission</t>
  </si>
  <si>
    <t>Travel South Global Week</t>
  </si>
  <si>
    <t>Visit NC Tourism Conference</t>
  </si>
  <si>
    <t>Regular Conference Schedule</t>
  </si>
  <si>
    <t>Reserve for Unexpected Cost Increases</t>
  </si>
  <si>
    <t>FY 2026/2027 Conferences - Projection for Budget</t>
  </si>
  <si>
    <t>FY 2025/2026 Budget</t>
  </si>
  <si>
    <t>FY 2026/2027 Budget</t>
  </si>
  <si>
    <t>Proposed Budget</t>
  </si>
  <si>
    <t>See Below</t>
  </si>
  <si>
    <t>Destinations International Marketing &amp; Comm Summit</t>
  </si>
  <si>
    <t>Fall Visit NC Media Mission</t>
  </si>
  <si>
    <t xml:space="preserve">TBEX North America </t>
  </si>
  <si>
    <t>Promoting Island Accessibility</t>
  </si>
  <si>
    <t>Communications and distributable educational materials highlighting accessibilty which lodging entities can distribute (includes ferry access and transporation)</t>
  </si>
  <si>
    <t>Communications / Island Accessibility Tools</t>
  </si>
  <si>
    <t>Website Hosting / Development</t>
  </si>
  <si>
    <t>7.65% of employee wages less  employee portion of medical plus $250 of NC Unemployment Insurance</t>
  </si>
  <si>
    <t>Additional computer and supplies</t>
  </si>
  <si>
    <t>Assumes 7% production and distriibution cost increase</t>
  </si>
  <si>
    <t>About 8 industry specific conferences attended each year by the Executive Director; includes additional Board member participation too</t>
  </si>
  <si>
    <t>New 2 year contract with 5% Increase per year</t>
  </si>
  <si>
    <t>No change in costs expected</t>
  </si>
  <si>
    <t>Amount to offset total expenses less occupancy tax collections</t>
  </si>
  <si>
    <t>June 30, 2024 Fund Balance</t>
  </si>
  <si>
    <t>Per Final OTTDA G/L received from Hyde County Finance</t>
  </si>
  <si>
    <t>FY 2024/2025 Occupancy Tax Revenue</t>
  </si>
  <si>
    <t>FY 2024/2025 OTTDA Expenses</t>
  </si>
  <si>
    <t>June 30, 2025 OTTDA Fund Balance</t>
  </si>
  <si>
    <t>Targeted Balance for OTTDA Reserve Fund Balance</t>
  </si>
  <si>
    <t>Target Established by OTTDA Board in prior years to cover unforeseen revenue shortfalls due to storms and island accessibility issues</t>
  </si>
  <si>
    <t>Amount exceeding the $100,000 Excess Reserves Target</t>
  </si>
  <si>
    <t>Projected Accumulated Excess Revenues (Fund Balance) as of June 30, 2026</t>
  </si>
  <si>
    <t>Projected Use of OTTDA Reserves for FY 2025/2026</t>
  </si>
  <si>
    <t>Projected Balance of Excess Revenues as of June 30, 2026</t>
  </si>
  <si>
    <t>Projected OTTDA Excess Reserves as of June 30, 2026</t>
  </si>
  <si>
    <t>Projected Amount of Excess Reserves above the $100,000 Excess Reserves Target</t>
  </si>
  <si>
    <t>Prepared 2026-02-20</t>
  </si>
  <si>
    <t>Per Projected FY 2025/2026 Revenues and Expenses as of December 31, 2025</t>
  </si>
  <si>
    <t>Fig Festival</t>
  </si>
  <si>
    <t>FY 2025/2026 Budget Drafted 2/5/26</t>
  </si>
  <si>
    <t>FY 2026/2027 Budget Drafted 2/5/26</t>
  </si>
  <si>
    <t>26/27 campaign consistent with 25/26 with continuation of WAVY TV segements</t>
  </si>
  <si>
    <t>Continuation and increased support of the Ocracoke Access Alliance</t>
  </si>
  <si>
    <t>Assumes 7% production cost increase offset with reduced printed copies total</t>
  </si>
  <si>
    <t>NCTIA Conference &amp; Dinner (plus 1)</t>
  </si>
  <si>
    <t>Visit NC Tourism Conference, Asheville NC (plus 1)</t>
  </si>
  <si>
    <t>Assumes no Startlink requests going forward</t>
  </si>
  <si>
    <t>New event funding for non-peak season event</t>
  </si>
  <si>
    <t>Updated Drafted FY 2026-2027 Budget</t>
  </si>
  <si>
    <t>$30K Ocracoke Access Alliance pymts.  Additional $10K from Public Relations categories plus Island Inn Kitchen equipment</t>
  </si>
  <si>
    <t>Actual January 2025 with Projected 20% increase</t>
  </si>
  <si>
    <t>Actual January 2025 with Projected 0% increase</t>
  </si>
  <si>
    <t>Prepared 2026-03-18</t>
  </si>
  <si>
    <t>Discretionary Pool eliminated with more specific budgeting for FY 2026/2027</t>
  </si>
  <si>
    <t>FY 2026/2027 Budget 3/18/26 vs 2/5/26</t>
  </si>
  <si>
    <t>Projected FY 2025/2026 plus a 20% medical insurance increase</t>
  </si>
  <si>
    <t>High Speed Internet at Community Center</t>
  </si>
  <si>
    <t>Prepared 2026-04-03</t>
  </si>
  <si>
    <t xml:space="preserve">Discretionary Pool to be used for Board approved expenditures </t>
  </si>
  <si>
    <t>To be considered separately  during FY 2026/2027</t>
  </si>
  <si>
    <t>Shoulder Season Event Funding</t>
  </si>
  <si>
    <t>No change in costs expected from previous year</t>
  </si>
  <si>
    <t>7.65% of employee wages less employee portion of medical costs plus $250 of NC Unemployment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</si>
</sst>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[$$-409]#,##0.00"/>
    <numFmt numFmtId="166" formatCode="0.0%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FFFF"/>
      <name val="Arial"/>
      <family val="2"/>
    </font>
    <font>
      <sz val="12"/>
      <color rgb="FF000000"/>
      <name val="Courier"/>
    </font>
    <font>
      <b/>
      <sz val="12"/>
      <color rgb="FF000000"/>
      <name val="Courie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65CA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F4E79"/>
      </patternFill>
    </fill>
    <fill>
      <patternFill patternType="solid">
        <fgColor rgb="FF2F5597"/>
      </patternFill>
    </fill>
    <fill>
      <patternFill patternType="solid">
        <fgColor rgb="FFD9E1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38" fontId="0" fillId="2" borderId="0" xfId="0" applyNumberFormat="1" applyFill="1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5" fontId="0" fillId="2" borderId="0" xfId="0" applyNumberFormat="1" applyFill="1" applyAlignment="1">
      <alignment vertical="top" wrapText="1"/>
    </xf>
    <xf numFmtId="6" fontId="0" fillId="2" borderId="0" xfId="0" applyNumberFormat="1" applyFill="1" applyAlignment="1">
      <alignment vertical="top"/>
    </xf>
    <xf numFmtId="6" fontId="1" fillId="2" borderId="1" xfId="0" applyNumberFormat="1" applyFont="1" applyFill="1" applyBorder="1" applyAlignment="1">
      <alignment vertical="top"/>
    </xf>
    <xf numFmtId="6" fontId="1" fillId="2" borderId="0" xfId="0" applyNumberFormat="1" applyFont="1" applyFill="1" applyAlignment="1">
      <alignment vertical="top"/>
    </xf>
    <xf numFmtId="0" fontId="0" fillId="2" borderId="0" xfId="0" applyFill="1" applyAlignment="1">
      <alignment wrapText="1"/>
    </xf>
    <xf numFmtId="6" fontId="1" fillId="2" borderId="4" xfId="0" applyNumberFormat="1" applyFont="1" applyFill="1" applyBorder="1" applyAlignment="1">
      <alignment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39" fontId="1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/>
    <xf numFmtId="39" fontId="0" fillId="0" borderId="0" xfId="0" applyNumberFormat="1"/>
    <xf numFmtId="0" fontId="0" fillId="0" borderId="3" xfId="0" applyBorder="1" applyAlignment="1">
      <alignment horizontal="center" vertical="center" wrapText="1"/>
    </xf>
    <xf numFmtId="40" fontId="0" fillId="0" borderId="0" xfId="0" applyNumberFormat="1"/>
    <xf numFmtId="6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right"/>
    </xf>
    <xf numFmtId="165" fontId="0" fillId="0" borderId="0" xfId="0" applyNumberFormat="1"/>
    <xf numFmtId="0" fontId="4" fillId="0" borderId="0" xfId="0" applyFont="1"/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7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37" fontId="10" fillId="0" borderId="7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37" fontId="10" fillId="0" borderId="1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right"/>
    </xf>
    <xf numFmtId="37" fontId="10" fillId="0" borderId="12" xfId="1" applyNumberFormat="1" applyFont="1" applyBorder="1" applyAlignment="1">
      <alignment horizontal="center"/>
    </xf>
    <xf numFmtId="37" fontId="10" fillId="0" borderId="13" xfId="1" applyNumberFormat="1" applyFont="1" applyBorder="1" applyAlignment="1">
      <alignment horizontal="center"/>
    </xf>
    <xf numFmtId="37" fontId="10" fillId="0" borderId="14" xfId="1" applyNumberFormat="1" applyFont="1" applyBorder="1" applyAlignment="1">
      <alignment horizontal="center"/>
    </xf>
    <xf numFmtId="37" fontId="8" fillId="0" borderId="0" xfId="1" applyNumberFormat="1" applyFont="1" applyFill="1" applyBorder="1"/>
    <xf numFmtId="37" fontId="8" fillId="4" borderId="11" xfId="1" applyNumberFormat="1" applyFont="1" applyFill="1" applyBorder="1"/>
    <xf numFmtId="0" fontId="11" fillId="0" borderId="0" xfId="0" applyFont="1"/>
    <xf numFmtId="0" fontId="9" fillId="0" borderId="12" xfId="0" applyFont="1" applyBorder="1" applyAlignment="1">
      <alignment horizontal="right"/>
    </xf>
    <xf numFmtId="0" fontId="12" fillId="0" borderId="0" xfId="0" applyFont="1"/>
    <xf numFmtId="8" fontId="0" fillId="2" borderId="0" xfId="0" applyNumberFormat="1" applyFill="1"/>
    <xf numFmtId="6" fontId="0" fillId="2" borderId="0" xfId="0" applyNumberFormat="1" applyFill="1"/>
    <xf numFmtId="164" fontId="0" fillId="4" borderId="0" xfId="0" applyNumberFormat="1" applyFill="1" applyAlignment="1">
      <alignment horizontal="center"/>
    </xf>
    <xf numFmtId="0" fontId="0" fillId="4" borderId="0" xfId="0" applyFill="1"/>
    <xf numFmtId="39" fontId="0" fillId="4" borderId="0" xfId="0" applyNumberFormat="1" applyFill="1"/>
    <xf numFmtId="39" fontId="1" fillId="4" borderId="0" xfId="0" applyNumberFormat="1" applyFont="1" applyFill="1"/>
    <xf numFmtId="40" fontId="0" fillId="0" borderId="3" xfId="0" applyNumberFormat="1" applyBorder="1" applyAlignment="1">
      <alignment vertical="center"/>
    </xf>
    <xf numFmtId="39" fontId="1" fillId="0" borderId="2" xfId="0" applyNumberFormat="1" applyFont="1" applyBorder="1"/>
    <xf numFmtId="39" fontId="1" fillId="0" borderId="0" xfId="0" applyNumberFormat="1" applyFont="1"/>
    <xf numFmtId="39" fontId="1" fillId="0" borderId="1" xfId="0" applyNumberFormat="1" applyFont="1" applyBorder="1"/>
    <xf numFmtId="39" fontId="0" fillId="2" borderId="0" xfId="0" applyNumberFormat="1" applyFill="1"/>
    <xf numFmtId="40" fontId="5" fillId="5" borderId="3" xfId="0" applyNumberFormat="1" applyFont="1" applyFill="1" applyBorder="1" applyAlignment="1">
      <alignment horizontal="center" wrapText="1"/>
    </xf>
    <xf numFmtId="40" fontId="5" fillId="5" borderId="3" xfId="0" applyNumberFormat="1" applyFont="1" applyFill="1" applyBorder="1" applyAlignment="1">
      <alignment horizontal="center"/>
    </xf>
    <xf numFmtId="40" fontId="6" fillId="0" borderId="3" xfId="0" applyNumberFormat="1" applyFont="1" applyBorder="1" applyAlignment="1">
      <alignment vertical="top"/>
    </xf>
    <xf numFmtId="40" fontId="7" fillId="0" borderId="3" xfId="0" applyNumberFormat="1" applyFont="1" applyBorder="1" applyAlignment="1">
      <alignment vertical="top"/>
    </xf>
    <xf numFmtId="40" fontId="0" fillId="0" borderId="5" xfId="0" applyNumberFormat="1" applyBorder="1"/>
    <xf numFmtId="40" fontId="0" fillId="0" borderId="1" xfId="0" applyNumberFormat="1" applyBorder="1"/>
    <xf numFmtId="40" fontId="0" fillId="0" borderId="6" xfId="0" applyNumberFormat="1" applyBorder="1" applyAlignment="1">
      <alignment horizontal="right"/>
    </xf>
    <xf numFmtId="0" fontId="8" fillId="0" borderId="17" xfId="0" applyFont="1" applyBorder="1"/>
    <xf numFmtId="37" fontId="9" fillId="0" borderId="2" xfId="1" applyNumberFormat="1" applyFont="1" applyFill="1" applyBorder="1"/>
    <xf numFmtId="37" fontId="9" fillId="0" borderId="18" xfId="1" applyNumberFormat="1" applyFont="1" applyFill="1" applyBorder="1"/>
    <xf numFmtId="0" fontId="1" fillId="0" borderId="0" xfId="0" applyFont="1" applyAlignment="1">
      <alignment horizontal="right"/>
    </xf>
    <xf numFmtId="39" fontId="1" fillId="3" borderId="0" xfId="0" applyNumberFormat="1" applyFont="1" applyFill="1"/>
    <xf numFmtId="0" fontId="1" fillId="2" borderId="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6" fontId="0" fillId="2" borderId="7" xfId="0" applyNumberFormat="1" applyFill="1" applyBorder="1" applyAlignment="1">
      <alignment vertical="top"/>
    </xf>
    <xf numFmtId="6" fontId="0" fillId="2" borderId="11" xfId="0" applyNumberFormat="1" applyFill="1" applyBorder="1" applyAlignment="1">
      <alignment vertical="top"/>
    </xf>
    <xf numFmtId="6" fontId="1" fillId="2" borderId="19" xfId="0" applyNumberFormat="1" applyFont="1" applyFill="1" applyBorder="1" applyAlignment="1">
      <alignment vertical="top"/>
    </xf>
    <xf numFmtId="0" fontId="0" fillId="2" borderId="0" xfId="0" applyFill="1" applyAlignment="1">
      <alignment vertical="center"/>
    </xf>
    <xf numFmtId="6" fontId="1" fillId="2" borderId="11" xfId="0" applyNumberFormat="1" applyFont="1" applyFill="1" applyBorder="1" applyAlignment="1">
      <alignment vertical="top"/>
    </xf>
    <xf numFmtId="0" fontId="1" fillId="2" borderId="17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0" fillId="2" borderId="11" xfId="0" applyFill="1" applyBorder="1"/>
    <xf numFmtId="0" fontId="0" fillId="2" borderId="7" xfId="0" applyFill="1" applyBorder="1"/>
    <xf numFmtId="6" fontId="1" fillId="2" borderId="18" xfId="0" applyNumberFormat="1" applyFont="1" applyFill="1" applyBorder="1" applyAlignment="1">
      <alignment vertical="top"/>
    </xf>
    <xf numFmtId="38" fontId="0" fillId="2" borderId="0" xfId="0" applyNumberFormat="1" applyFill="1" applyAlignment="1">
      <alignment vertical="top"/>
    </xf>
    <xf numFmtId="6" fontId="0" fillId="2" borderId="0" xfId="0" applyNumberFormat="1" applyFill="1" applyAlignment="1">
      <alignment vertical="top" wrapText="1"/>
    </xf>
    <xf numFmtId="40" fontId="0" fillId="0" borderId="0" xfId="0" applyNumberFormat="1" applyAlignment="1">
      <alignment horizontal="right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40" fontId="1" fillId="0" borderId="3" xfId="0" applyNumberFormat="1" applyFont="1" applyBorder="1" applyAlignment="1">
      <alignment horizontal="center" wrapText="1"/>
    </xf>
    <xf numFmtId="8" fontId="0" fillId="0" borderId="0" xfId="0" applyNumberFormat="1"/>
    <xf numFmtId="165" fontId="0" fillId="0" borderId="2" xfId="0" applyNumberFormat="1" applyBorder="1"/>
    <xf numFmtId="8" fontId="0" fillId="4" borderId="0" xfId="0" applyNumberFormat="1" applyFill="1"/>
    <xf numFmtId="0" fontId="0" fillId="6" borderId="0" xfId="0" applyFill="1"/>
    <xf numFmtId="0" fontId="1" fillId="0" borderId="0" xfId="0" applyFont="1" applyAlignment="1">
      <alignment horizontal="center" wrapText="1"/>
    </xf>
    <xf numFmtId="0" fontId="1" fillId="6" borderId="0" xfId="0" applyFont="1" applyFill="1"/>
    <xf numFmtId="40" fontId="0" fillId="2" borderId="0" xfId="0" applyNumberFormat="1" applyFill="1" applyAlignment="1">
      <alignment vertical="top"/>
    </xf>
    <xf numFmtId="38" fontId="0" fillId="2" borderId="11" xfId="0" applyNumberFormat="1" applyFill="1" applyBorder="1" applyAlignment="1">
      <alignment vertical="top"/>
    </xf>
    <xf numFmtId="6" fontId="0" fillId="2" borderId="17" xfId="0" applyNumberFormat="1" applyFill="1" applyBorder="1" applyAlignment="1">
      <alignment vertical="top"/>
    </xf>
    <xf numFmtId="6" fontId="0" fillId="2" borderId="15" xfId="0" applyNumberFormat="1" applyFill="1" applyBorder="1" applyAlignment="1">
      <alignment vertical="top"/>
    </xf>
    <xf numFmtId="6" fontId="0" fillId="2" borderId="16" xfId="0" applyNumberFormat="1" applyFill="1" applyBorder="1" applyAlignment="1">
      <alignment vertical="top"/>
    </xf>
    <xf numFmtId="38" fontId="0" fillId="2" borderId="7" xfId="0" applyNumberFormat="1" applyFill="1" applyBorder="1" applyAlignment="1">
      <alignment vertical="top"/>
    </xf>
    <xf numFmtId="6" fontId="0" fillId="2" borderId="12" xfId="0" applyNumberFormat="1" applyFill="1" applyBorder="1" applyAlignment="1">
      <alignment vertical="top"/>
    </xf>
    <xf numFmtId="6" fontId="0" fillId="2" borderId="13" xfId="0" applyNumberFormat="1" applyFill="1" applyBorder="1" applyAlignment="1">
      <alignment vertical="top"/>
    </xf>
    <xf numFmtId="6" fontId="0" fillId="2" borderId="14" xfId="0" applyNumberFormat="1" applyFill="1" applyBorder="1" applyAlignment="1">
      <alignment vertical="top"/>
    </xf>
    <xf numFmtId="6" fontId="1" fillId="2" borderId="20" xfId="0" applyNumberFormat="1" applyFont="1" applyFill="1" applyBorder="1" applyAlignment="1">
      <alignment vertical="top"/>
    </xf>
    <xf numFmtId="6" fontId="1" fillId="2" borderId="21" xfId="0" applyNumberFormat="1" applyFont="1" applyFill="1" applyBorder="1" applyAlignment="1">
      <alignment vertical="top"/>
    </xf>
    <xf numFmtId="6" fontId="1" fillId="2" borderId="22" xfId="0" applyNumberFormat="1" applyFont="1" applyFill="1" applyBorder="1" applyAlignment="1">
      <alignment vertical="top"/>
    </xf>
    <xf numFmtId="6" fontId="1" fillId="2" borderId="7" xfId="0" applyNumberFormat="1" applyFont="1" applyFill="1" applyBorder="1" applyAlignment="1">
      <alignment vertical="top"/>
    </xf>
    <xf numFmtId="6" fontId="0" fillId="2" borderId="11" xfId="0" applyNumberFormat="1" applyFill="1" applyBorder="1" applyAlignment="1">
      <alignment vertical="top" wrapText="1"/>
    </xf>
    <xf numFmtId="37" fontId="0" fillId="2" borderId="7" xfId="0" applyNumberFormat="1" applyFill="1" applyBorder="1"/>
    <xf numFmtId="37" fontId="0" fillId="2" borderId="0" xfId="0" applyNumberFormat="1" applyFill="1"/>
    <xf numFmtId="37" fontId="0" fillId="2" borderId="11" xfId="0" applyNumberFormat="1" applyFill="1" applyBorder="1"/>
    <xf numFmtId="37" fontId="0" fillId="2" borderId="12" xfId="0" applyNumberFormat="1" applyFill="1" applyBorder="1"/>
    <xf numFmtId="37" fontId="0" fillId="2" borderId="13" xfId="0" applyNumberFormat="1" applyFill="1" applyBorder="1"/>
    <xf numFmtId="37" fontId="0" fillId="2" borderId="14" xfId="0" applyNumberFormat="1" applyFill="1" applyBorder="1"/>
    <xf numFmtId="164" fontId="1" fillId="0" borderId="3" xfId="0" applyNumberFormat="1" applyFont="1" applyBorder="1" applyAlignment="1">
      <alignment horizontal="right" vertical="center"/>
    </xf>
    <xf numFmtId="40" fontId="1" fillId="0" borderId="3" xfId="0" applyNumberFormat="1" applyFont="1" applyBorder="1" applyAlignment="1">
      <alignment vertical="center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/>
    <xf numFmtId="40" fontId="6" fillId="0" borderId="6" xfId="0" applyNumberFormat="1" applyFont="1" applyBorder="1" applyAlignment="1">
      <alignment vertical="top"/>
    </xf>
    <xf numFmtId="40" fontId="0" fillId="0" borderId="23" xfId="0" applyNumberForma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7" borderId="0" xfId="0" applyNumberFormat="1" applyFill="1"/>
    <xf numFmtId="0" fontId="0" fillId="7" borderId="0" xfId="0" applyFill="1"/>
    <xf numFmtId="39" fontId="0" fillId="7" borderId="0" xfId="0" applyNumberFormat="1" applyFill="1"/>
    <xf numFmtId="164" fontId="0" fillId="0" borderId="0" xfId="0" applyNumberFormat="1"/>
    <xf numFmtId="164" fontId="0" fillId="4" borderId="0" xfId="0" applyNumberFormat="1" applyFill="1"/>
    <xf numFmtId="166" fontId="1" fillId="0" borderId="0" xfId="0" applyNumberFormat="1" applyFont="1"/>
    <xf numFmtId="38" fontId="0" fillId="4" borderId="0" xfId="0" applyNumberFormat="1" applyFill="1"/>
    <xf numFmtId="166" fontId="1" fillId="2" borderId="0" xfId="0" applyNumberFormat="1" applyFont="1" applyFill="1" applyAlignment="1">
      <alignment vertical="top" wrapText="1"/>
    </xf>
    <xf numFmtId="40" fontId="6" fillId="8" borderId="3" xfId="0" applyNumberFormat="1" applyFont="1" applyFill="1" applyBorder="1" applyAlignment="1">
      <alignment vertical="top"/>
    </xf>
    <xf numFmtId="164" fontId="6" fillId="8" borderId="3" xfId="0" applyNumberFormat="1" applyFont="1" applyFill="1" applyBorder="1" applyAlignment="1">
      <alignment horizontal="center" vertical="top"/>
    </xf>
    <xf numFmtId="0" fontId="6" fillId="8" borderId="3" xfId="0" applyFont="1" applyFill="1" applyBorder="1" applyAlignment="1">
      <alignment horizontal="center" vertical="top"/>
    </xf>
    <xf numFmtId="0" fontId="6" fillId="8" borderId="3" xfId="0" applyFont="1" applyFill="1" applyBorder="1" applyAlignment="1">
      <alignment vertical="top"/>
    </xf>
    <xf numFmtId="0" fontId="1" fillId="2" borderId="0" xfId="0" applyFont="1" applyFill="1" applyAlignment="1">
      <alignment vertical="center"/>
    </xf>
    <xf numFmtId="6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wrapText="1"/>
    </xf>
    <xf numFmtId="5" fontId="0" fillId="2" borderId="0" xfId="0" applyNumberFormat="1" applyFill="1" applyAlignment="1">
      <alignment vertical="center" wrapText="1"/>
    </xf>
    <xf numFmtId="0" fontId="1" fillId="0" borderId="0" xfId="0" applyFont="1" applyAlignment="1">
      <alignment horizontal="center"/>
    </xf>
    <xf numFmtId="39" fontId="0" fillId="0" borderId="0" xfId="0" applyNumberFormat="1" applyAlignment="1">
      <alignment horizontal="right"/>
    </xf>
    <xf numFmtId="39" fontId="0" fillId="0" borderId="2" xfId="0" applyNumberFormat="1" applyBorder="1"/>
    <xf numFmtId="0" fontId="0" fillId="0" borderId="0" xfId="0" applyAlignment="1">
      <alignment horizontal="center" wrapText="1"/>
    </xf>
    <xf numFmtId="38" fontId="0" fillId="0" borderId="0" xfId="0" applyNumberFormat="1"/>
    <xf numFmtId="38" fontId="0" fillId="0" borderId="0" xfId="0" applyNumberFormat="1" applyAlignment="1">
      <alignment horizontal="center"/>
    </xf>
    <xf numFmtId="38" fontId="0" fillId="0" borderId="2" xfId="0" applyNumberFormat="1" applyBorder="1"/>
    <xf numFmtId="38" fontId="1" fillId="0" borderId="0" xfId="0" applyNumberFormat="1" applyFont="1"/>
    <xf numFmtId="10" fontId="0" fillId="0" borderId="0" xfId="0" applyNumberFormat="1"/>
    <xf numFmtId="38" fontId="0" fillId="3" borderId="2" xfId="0" applyNumberFormat="1" applyFill="1" applyBorder="1"/>
    <xf numFmtId="38" fontId="1" fillId="3" borderId="2" xfId="0" applyNumberFormat="1" applyFont="1" applyFill="1" applyBorder="1"/>
    <xf numFmtId="0" fontId="15" fillId="0" borderId="0" xfId="0" applyFont="1"/>
    <xf numFmtId="0" fontId="16" fillId="10" borderId="24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top" wrapText="1"/>
    </xf>
    <xf numFmtId="167" fontId="15" fillId="0" borderId="24" xfId="0" applyNumberFormat="1" applyFont="1" applyBorder="1" applyAlignment="1">
      <alignment horizontal="right" vertical="top"/>
    </xf>
    <xf numFmtId="0" fontId="14" fillId="11" borderId="24" xfId="0" applyFont="1" applyFill="1" applyBorder="1" applyAlignment="1">
      <alignment horizontal="left" vertical="top" wrapText="1"/>
    </xf>
    <xf numFmtId="0" fontId="15" fillId="11" borderId="24" xfId="0" applyFont="1" applyFill="1" applyBorder="1"/>
    <xf numFmtId="167" fontId="14" fillId="11" borderId="24" xfId="0" applyNumberFormat="1" applyFont="1" applyFill="1" applyBorder="1" applyAlignment="1">
      <alignment horizontal="right" vertical="top"/>
    </xf>
    <xf numFmtId="0" fontId="15" fillId="0" borderId="24" xfId="0" applyFont="1" applyBorder="1" applyAlignment="1">
      <alignment horizontal="right" vertical="top"/>
    </xf>
    <xf numFmtId="0" fontId="0" fillId="11" borderId="24" xfId="0" applyFill="1" applyBorder="1"/>
    <xf numFmtId="167" fontId="1" fillId="0" borderId="2" xfId="0" applyNumberFormat="1" applyFont="1" applyBorder="1"/>
    <xf numFmtId="0" fontId="0" fillId="2" borderId="0" xfId="0" applyFill="1" applyProtection="1">
      <protection locked="0"/>
    </xf>
    <xf numFmtId="38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38" fontId="0" fillId="2" borderId="0" xfId="0" applyNumberFormat="1" applyFill="1" applyAlignment="1" applyProtection="1">
      <alignment horizontal="right" vertical="center"/>
      <protection locked="0"/>
    </xf>
    <xf numFmtId="38" fontId="0" fillId="2" borderId="21" xfId="0" applyNumberForma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8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8" fontId="1" fillId="2" borderId="21" xfId="0" applyNumberFormat="1" applyFont="1" applyFill="1" applyBorder="1" applyAlignment="1">
      <alignment vertical="center"/>
    </xf>
    <xf numFmtId="38" fontId="1" fillId="2" borderId="25" xfId="0" applyNumberFormat="1" applyFont="1" applyFill="1" applyBorder="1" applyAlignment="1">
      <alignment vertical="center"/>
    </xf>
    <xf numFmtId="38" fontId="1" fillId="2" borderId="4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 wrapText="1"/>
    </xf>
    <xf numFmtId="6" fontId="0" fillId="3" borderId="0" xfId="0" applyNumberFormat="1" applyFill="1" applyAlignment="1">
      <alignment vertical="top"/>
    </xf>
    <xf numFmtId="6" fontId="1" fillId="3" borderId="1" xfId="0" applyNumberFormat="1" applyFont="1" applyFill="1" applyBorder="1" applyAlignment="1">
      <alignment vertical="top"/>
    </xf>
    <xf numFmtId="6" fontId="1" fillId="3" borderId="0" xfId="0" applyNumberFormat="1" applyFont="1" applyFill="1" applyAlignment="1">
      <alignment vertical="top"/>
    </xf>
    <xf numFmtId="6" fontId="0" fillId="3" borderId="0" xfId="0" applyNumberFormat="1" applyFill="1" applyAlignment="1">
      <alignment vertical="center"/>
    </xf>
    <xf numFmtId="6" fontId="1" fillId="3" borderId="4" xfId="0" applyNumberFormat="1" applyFont="1" applyFill="1" applyBorder="1" applyAlignment="1">
      <alignment vertical="top"/>
    </xf>
    <xf numFmtId="6" fontId="0" fillId="3" borderId="0" xfId="0" applyNumberFormat="1" applyFill="1" applyAlignment="1">
      <alignment vertical="top" wrapText="1"/>
    </xf>
    <xf numFmtId="0" fontId="0" fillId="3" borderId="0" xfId="0" applyFill="1"/>
    <xf numFmtId="0" fontId="2" fillId="3" borderId="0" xfId="0" applyFont="1" applyFill="1" applyAlignment="1">
      <alignment horizontal="center"/>
    </xf>
    <xf numFmtId="38" fontId="0" fillId="3" borderId="0" xfId="0" applyNumberFormat="1" applyFill="1"/>
    <xf numFmtId="6" fontId="1" fillId="3" borderId="2" xfId="0" applyNumberFormat="1" applyFont="1" applyFill="1" applyBorder="1" applyAlignment="1">
      <alignment vertical="top"/>
    </xf>
    <xf numFmtId="6" fontId="0" fillId="4" borderId="0" xfId="0" applyNumberFormat="1" applyFill="1" applyAlignment="1">
      <alignment vertical="top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top" wrapText="1"/>
    </xf>
    <xf numFmtId="6" fontId="1" fillId="4" borderId="1" xfId="0" applyNumberFormat="1" applyFont="1" applyFill="1" applyBorder="1" applyAlignment="1">
      <alignment vertical="top"/>
    </xf>
    <xf numFmtId="6" fontId="1" fillId="4" borderId="0" xfId="0" applyNumberFormat="1" applyFont="1" applyFill="1" applyAlignment="1">
      <alignment vertical="top"/>
    </xf>
    <xf numFmtId="6" fontId="0" fillId="4" borderId="0" xfId="0" applyNumberFormat="1" applyFill="1" applyAlignment="1">
      <alignment vertical="center"/>
    </xf>
    <xf numFmtId="6" fontId="1" fillId="4" borderId="4" xfId="0" applyNumberFormat="1" applyFont="1" applyFill="1" applyBorder="1" applyAlignment="1">
      <alignment vertical="top"/>
    </xf>
    <xf numFmtId="6" fontId="0" fillId="4" borderId="0" xfId="0" applyNumberFormat="1" applyFill="1" applyAlignment="1">
      <alignment vertical="top" wrapText="1"/>
    </xf>
    <xf numFmtId="0" fontId="2" fillId="4" borderId="0" xfId="0" applyFont="1" applyFill="1" applyAlignment="1">
      <alignment horizontal="center"/>
    </xf>
    <xf numFmtId="6" fontId="1" fillId="4" borderId="2" xfId="0" applyNumberFormat="1" applyFont="1" applyFill="1" applyBorder="1" applyAlignment="1">
      <alignment vertical="top"/>
    </xf>
    <xf numFmtId="38" fontId="0" fillId="12" borderId="0" xfId="0" applyNumberFormat="1" applyFill="1" applyAlignment="1">
      <alignment vertical="top"/>
    </xf>
    <xf numFmtId="0" fontId="0" fillId="12" borderId="0" xfId="0" applyFill="1"/>
    <xf numFmtId="38" fontId="0" fillId="13" borderId="0" xfId="0" applyNumberFormat="1" applyFill="1"/>
    <xf numFmtId="6" fontId="0" fillId="13" borderId="0" xfId="0" applyNumberFormat="1" applyFill="1" applyAlignment="1">
      <alignment vertical="top"/>
    </xf>
    <xf numFmtId="6" fontId="0" fillId="13" borderId="0" xfId="0" applyNumberFormat="1" applyFill="1" applyAlignment="1">
      <alignment vertical="center"/>
    </xf>
    <xf numFmtId="0" fontId="0" fillId="12" borderId="0" xfId="0" applyFill="1" applyAlignment="1">
      <alignment vertical="top" wrapText="1"/>
    </xf>
    <xf numFmtId="0" fontId="0" fillId="14" borderId="0" xfId="0" applyFill="1"/>
    <xf numFmtId="6" fontId="0" fillId="0" borderId="0" xfId="0" applyNumberFormat="1" applyAlignment="1">
      <alignment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4" fillId="0" borderId="0" xfId="0" applyFont="1" applyAlignment="1">
      <alignment horizontal="left" vertical="top" wrapText="1"/>
    </xf>
    <xf numFmtId="0" fontId="15" fillId="0" borderId="0" xfId="0" applyFont="1"/>
    <xf numFmtId="0" fontId="16" fillId="9" borderId="0" xfId="0" applyFont="1" applyFill="1" applyAlignment="1">
      <alignment horizontal="left" vertical="top" wrapText="1"/>
    </xf>
    <xf numFmtId="0" fontId="19" fillId="11" borderId="24" xfId="0" applyFont="1" applyFill="1" applyBorder="1" applyAlignment="1">
      <alignment horizontal="left" vertical="top" wrapText="1"/>
    </xf>
    <xf numFmtId="0" fontId="0" fillId="0" borderId="0" xfId="0"/>
    <xf numFmtId="0" fontId="15" fillId="11" borderId="0" xfId="0" applyFont="1" applyFill="1" applyAlignment="1">
      <alignment horizontal="left" vertical="top" wrapText="1"/>
    </xf>
    <xf numFmtId="0" fontId="17" fillId="9" borderId="0" xfId="0" applyFont="1" applyFill="1" applyAlignment="1">
      <alignment horizontal="left" vertical="top" wrapText="1"/>
    </xf>
    <xf numFmtId="0" fontId="18" fillId="11" borderId="2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0" fontId="5" fillId="5" borderId="3" xfId="0" applyNumberFormat="1" applyFont="1" applyFill="1" applyBorder="1" applyAlignment="1">
      <alignment horizontal="center" vertical="center" wrapText="1"/>
    </xf>
    <xf numFmtId="37" fontId="9" fillId="0" borderId="8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37" fontId="9" fillId="0" borderId="10" xfId="1" applyNumberFormat="1" applyFont="1" applyBorder="1" applyAlignment="1">
      <alignment horizontal="center"/>
    </xf>
    <xf numFmtId="37" fontId="9" fillId="0" borderId="17" xfId="1" applyNumberFormat="1" applyFont="1" applyBorder="1" applyAlignment="1">
      <alignment horizontal="center"/>
    </xf>
    <xf numFmtId="37" fontId="9" fillId="0" borderId="15" xfId="1" applyNumberFormat="1" applyFont="1" applyBorder="1" applyAlignment="1">
      <alignment horizontal="center"/>
    </xf>
    <xf numFmtId="37" fontId="9" fillId="0" borderId="16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5E34-CBB2-4061-A172-6E9FC85D856B}">
  <sheetPr>
    <tabColor theme="7" tint="0.59999389629810485"/>
    <pageSetUpPr fitToPage="1"/>
  </sheetPr>
  <dimension ref="A1:H91"/>
  <sheetViews>
    <sheetView tabSelected="1" zoomScale="120" zoomScaleNormal="120" workbookViewId="0">
      <pane ySplit="5" topLeftCell="A6" activePane="bottomLeft" state="frozen"/>
      <selection pane="bottomLeft" activeCell="A3" sqref="A3:G3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5.7109375" style="1" customWidth="1"/>
    <col min="4" max="6" width="13.7109375" style="1" customWidth="1"/>
    <col min="7" max="7" width="72.28515625" style="1" customWidth="1"/>
    <col min="8" max="9" width="8.85546875" style="1"/>
    <col min="10" max="10" width="9.5703125" style="1" bestFit="1" customWidth="1"/>
    <col min="11" max="16384" width="8.85546875" style="1"/>
  </cols>
  <sheetData>
    <row r="1" spans="1:7" ht="18.75" x14ac:dyDescent="0.3">
      <c r="A1" s="214" t="s">
        <v>0</v>
      </c>
      <c r="B1" s="214"/>
      <c r="C1" s="214"/>
      <c r="D1" s="214"/>
      <c r="E1" s="214"/>
      <c r="F1" s="214"/>
      <c r="G1" s="214"/>
    </row>
    <row r="2" spans="1:7" ht="18.75" x14ac:dyDescent="0.3">
      <c r="A2" s="214" t="s">
        <v>528</v>
      </c>
      <c r="B2" s="214"/>
      <c r="C2" s="214"/>
      <c r="D2" s="214"/>
      <c r="E2" s="214"/>
      <c r="F2" s="214"/>
      <c r="G2" s="214"/>
    </row>
    <row r="3" spans="1:7" x14ac:dyDescent="0.25">
      <c r="A3" s="215" t="s">
        <v>579</v>
      </c>
      <c r="B3" s="215"/>
      <c r="C3" s="215"/>
      <c r="D3" s="215"/>
      <c r="E3" s="215"/>
      <c r="F3" s="215"/>
      <c r="G3" s="215"/>
    </row>
    <row r="4" spans="1:7" ht="8.1" customHeight="1" x14ac:dyDescent="0.25">
      <c r="A4" s="5"/>
      <c r="B4" s="5"/>
      <c r="C4" s="5"/>
      <c r="D4" s="5"/>
      <c r="E4" s="5"/>
      <c r="F4" s="5"/>
    </row>
    <row r="5" spans="1:7" ht="45" x14ac:dyDescent="0.25">
      <c r="A5" s="215" t="s">
        <v>20</v>
      </c>
      <c r="B5" s="215"/>
      <c r="C5" s="215"/>
      <c r="D5" s="4" t="s">
        <v>1</v>
      </c>
      <c r="E5" s="4" t="s">
        <v>2</v>
      </c>
      <c r="F5" s="4" t="s">
        <v>48</v>
      </c>
      <c r="G5" s="4" t="s">
        <v>47</v>
      </c>
    </row>
    <row r="6" spans="1:7" x14ac:dyDescent="0.25">
      <c r="A6" s="9" t="s">
        <v>19</v>
      </c>
      <c r="B6" s="7"/>
      <c r="C6" s="7"/>
      <c r="D6" s="8"/>
      <c r="E6" s="8"/>
      <c r="F6" s="8"/>
    </row>
    <row r="7" spans="1:7" x14ac:dyDescent="0.25">
      <c r="A7" s="7"/>
      <c r="B7" s="7"/>
      <c r="C7" s="7" t="s">
        <v>40</v>
      </c>
      <c r="D7" s="12"/>
      <c r="E7" s="12"/>
      <c r="F7" s="12">
        <f>+'Draft FY26-27 Budget for 4-3-26'!G7</f>
        <v>515000</v>
      </c>
      <c r="G7" s="1" t="s">
        <v>425</v>
      </c>
    </row>
    <row r="8" spans="1:7" x14ac:dyDescent="0.25">
      <c r="A8" s="9"/>
      <c r="B8" s="7"/>
      <c r="C8" s="7" t="s">
        <v>23</v>
      </c>
      <c r="D8" s="12"/>
      <c r="E8" s="12"/>
      <c r="F8" s="12">
        <f>+'Draft FY26-27 Budget for 4-3-26'!G8</f>
        <v>65400</v>
      </c>
      <c r="G8" s="15" t="s">
        <v>544</v>
      </c>
    </row>
    <row r="9" spans="1:7" x14ac:dyDescent="0.25">
      <c r="A9" s="9" t="s">
        <v>18</v>
      </c>
      <c r="B9" s="7"/>
      <c r="C9" s="7"/>
      <c r="D9" s="14"/>
      <c r="E9" s="14"/>
      <c r="F9" s="13">
        <f>SUM(F7:F8)</f>
        <v>580400</v>
      </c>
      <c r="G9" s="61"/>
    </row>
    <row r="10" spans="1:7" ht="8.1" customHeight="1" x14ac:dyDescent="0.25">
      <c r="A10" s="9"/>
      <c r="B10" s="7"/>
      <c r="C10" s="7"/>
      <c r="D10" s="14"/>
      <c r="E10" s="14"/>
      <c r="F10" s="14"/>
    </row>
    <row r="11" spans="1:7" x14ac:dyDescent="0.25">
      <c r="A11" s="9" t="s">
        <v>4</v>
      </c>
      <c r="B11" s="7"/>
      <c r="C11" s="7"/>
      <c r="D11" s="12"/>
      <c r="E11" s="12"/>
      <c r="F11" s="12"/>
    </row>
    <row r="12" spans="1:7" ht="30" x14ac:dyDescent="0.25">
      <c r="A12" s="9"/>
      <c r="B12" s="7" t="s">
        <v>98</v>
      </c>
      <c r="C12" s="7"/>
      <c r="D12" s="12">
        <f>+F12</f>
        <v>65000</v>
      </c>
      <c r="E12" s="12"/>
      <c r="F12" s="12">
        <f>+'Draft FY26-27 Budget for 4-3-26'!G12</f>
        <v>65000</v>
      </c>
      <c r="G12" s="3" t="s">
        <v>563</v>
      </c>
    </row>
    <row r="13" spans="1:7" x14ac:dyDescent="0.25">
      <c r="A13" s="9"/>
      <c r="B13" s="7"/>
      <c r="C13" s="7"/>
      <c r="D13" s="12"/>
      <c r="E13" s="12"/>
      <c r="F13" s="12"/>
      <c r="G13" s="3"/>
    </row>
    <row r="14" spans="1:7" x14ac:dyDescent="0.25">
      <c r="A14" s="9"/>
      <c r="B14" s="7" t="s">
        <v>534</v>
      </c>
      <c r="C14" s="7"/>
      <c r="D14" s="12">
        <f>+F14*0.5</f>
        <v>20000</v>
      </c>
      <c r="E14" s="12">
        <f>+F14*0.5</f>
        <v>20000</v>
      </c>
      <c r="F14" s="12">
        <f>+'Draft FY26-27 Budget for 4-3-26'!G14</f>
        <v>40000</v>
      </c>
      <c r="G14" s="3" t="s">
        <v>564</v>
      </c>
    </row>
    <row r="15" spans="1:7" x14ac:dyDescent="0.25">
      <c r="A15" s="9"/>
      <c r="B15" s="7"/>
      <c r="C15" s="7"/>
      <c r="D15" s="12"/>
      <c r="E15" s="12"/>
      <c r="F15" s="12"/>
      <c r="G15" s="3"/>
    </row>
    <row r="16" spans="1:7" ht="45" x14ac:dyDescent="0.25">
      <c r="A16" s="9"/>
      <c r="B16" s="7" t="s">
        <v>99</v>
      </c>
      <c r="C16" s="7"/>
      <c r="D16" s="12">
        <f t="shared" ref="D16:D58" si="0">+F16</f>
        <v>65000</v>
      </c>
      <c r="E16" s="12"/>
      <c r="F16" s="12">
        <f>+'Draft FY26-27 Budget for 4-3-26'!G16</f>
        <v>65000</v>
      </c>
      <c r="G16" s="11" t="s">
        <v>427</v>
      </c>
    </row>
    <row r="17" spans="1:7" x14ac:dyDescent="0.25">
      <c r="A17" s="9"/>
      <c r="B17" s="7"/>
      <c r="C17" s="7"/>
      <c r="D17" s="12"/>
      <c r="E17" s="12"/>
      <c r="F17" s="12"/>
      <c r="G17" s="3"/>
    </row>
    <row r="18" spans="1:7" ht="45" x14ac:dyDescent="0.25">
      <c r="A18" s="9"/>
      <c r="B18" s="7" t="s">
        <v>536</v>
      </c>
      <c r="C18" s="7"/>
      <c r="D18" s="12">
        <f t="shared" si="0"/>
        <v>5000</v>
      </c>
      <c r="E18" s="12"/>
      <c r="F18" s="12">
        <f>+'Draft FY26-27 Budget for 4-3-26'!G18</f>
        <v>5000</v>
      </c>
      <c r="G18" s="3" t="s">
        <v>535</v>
      </c>
    </row>
    <row r="19" spans="1:7" x14ac:dyDescent="0.25">
      <c r="A19" s="9"/>
      <c r="B19" s="7"/>
      <c r="C19" s="7"/>
      <c r="D19" s="12"/>
      <c r="E19" s="12"/>
      <c r="F19" s="12"/>
      <c r="G19" s="3"/>
    </row>
    <row r="20" spans="1:7" x14ac:dyDescent="0.25">
      <c r="A20" s="9"/>
      <c r="B20" s="7" t="s">
        <v>38</v>
      </c>
      <c r="C20" s="7"/>
      <c r="D20" s="12">
        <f t="shared" si="0"/>
        <v>5400</v>
      </c>
      <c r="E20" s="12"/>
      <c r="F20" s="12">
        <f>+'Draft FY26-27 Budget for 4-3-26'!G20</f>
        <v>5400</v>
      </c>
      <c r="G20" s="3" t="s">
        <v>513</v>
      </c>
    </row>
    <row r="21" spans="1:7" x14ac:dyDescent="0.25">
      <c r="A21" s="9"/>
      <c r="B21" s="7"/>
      <c r="C21" s="7"/>
      <c r="D21" s="12"/>
      <c r="E21" s="12"/>
      <c r="F21" s="12"/>
      <c r="G21" s="3"/>
    </row>
    <row r="22" spans="1:7" x14ac:dyDescent="0.25">
      <c r="A22" s="9"/>
      <c r="B22" s="7" t="s">
        <v>537</v>
      </c>
      <c r="C22" s="7"/>
      <c r="D22" s="12">
        <f>+F22*0.5</f>
        <v>750</v>
      </c>
      <c r="E22" s="12">
        <f>+F22*0.5</f>
        <v>750</v>
      </c>
      <c r="F22" s="12">
        <f>+'Draft FY26-27 Budget for 4-3-26'!G22</f>
        <v>1500</v>
      </c>
      <c r="G22" s="3" t="s">
        <v>435</v>
      </c>
    </row>
    <row r="23" spans="1:7" x14ac:dyDescent="0.25">
      <c r="A23" s="9"/>
      <c r="B23" s="7"/>
      <c r="C23" s="7"/>
      <c r="D23" s="12"/>
      <c r="E23" s="12"/>
      <c r="F23" s="12"/>
      <c r="G23" s="3"/>
    </row>
    <row r="24" spans="1:7" ht="30" x14ac:dyDescent="0.25">
      <c r="A24" s="9"/>
      <c r="B24" s="7" t="s">
        <v>41</v>
      </c>
      <c r="C24" s="7"/>
      <c r="D24" s="12">
        <f t="shared" si="0"/>
        <v>25000</v>
      </c>
      <c r="E24" s="12"/>
      <c r="F24" s="12">
        <f>+'Draft FY26-27 Budget for 4-3-26'!G24</f>
        <v>25000</v>
      </c>
      <c r="G24" s="3" t="s">
        <v>433</v>
      </c>
    </row>
    <row r="25" spans="1:7" x14ac:dyDescent="0.25">
      <c r="A25" s="9"/>
      <c r="B25" s="7"/>
      <c r="C25" s="7"/>
      <c r="D25" s="12"/>
      <c r="E25" s="12"/>
      <c r="F25" s="12"/>
      <c r="G25" s="3"/>
    </row>
    <row r="26" spans="1:7" ht="30" x14ac:dyDescent="0.25">
      <c r="A26" s="9"/>
      <c r="B26" s="7" t="s">
        <v>39</v>
      </c>
      <c r="C26" s="7"/>
      <c r="D26" s="12">
        <f t="shared" si="0"/>
        <v>7000</v>
      </c>
      <c r="E26" s="12"/>
      <c r="F26" s="12">
        <f>+'Draft FY26-27 Budget for 4-3-26'!G26</f>
        <v>7000</v>
      </c>
      <c r="G26" s="3" t="s">
        <v>429</v>
      </c>
    </row>
    <row r="27" spans="1:7" x14ac:dyDescent="0.25">
      <c r="A27" s="9"/>
      <c r="B27" s="7"/>
      <c r="C27" s="7"/>
      <c r="D27" s="12"/>
      <c r="E27" s="12"/>
      <c r="F27" s="12"/>
      <c r="G27" s="3"/>
    </row>
    <row r="28" spans="1:7" ht="30" x14ac:dyDescent="0.25">
      <c r="A28" s="9"/>
      <c r="B28" s="7" t="s">
        <v>22</v>
      </c>
      <c r="C28" s="7"/>
      <c r="D28" s="12">
        <f t="shared" si="0"/>
        <v>12500</v>
      </c>
      <c r="E28" s="12"/>
      <c r="F28" s="12">
        <f>+'Draft FY26-27 Budget for 4-3-26'!G28</f>
        <v>12500</v>
      </c>
      <c r="G28" s="3" t="s">
        <v>430</v>
      </c>
    </row>
    <row r="29" spans="1:7" x14ac:dyDescent="0.25">
      <c r="A29" s="9"/>
      <c r="B29" s="7"/>
      <c r="C29" s="7"/>
      <c r="D29" s="12"/>
      <c r="E29" s="12"/>
      <c r="F29" s="12"/>
      <c r="G29" s="3"/>
    </row>
    <row r="30" spans="1:7" ht="45" x14ac:dyDescent="0.25">
      <c r="A30" s="9"/>
      <c r="B30" s="7" t="s">
        <v>164</v>
      </c>
      <c r="C30" s="7"/>
      <c r="D30" s="12">
        <f t="shared" si="0"/>
        <v>2500</v>
      </c>
      <c r="E30" s="12"/>
      <c r="F30" s="12">
        <f>+'Draft FY26-27 Budget for 4-3-26'!G30</f>
        <v>2500</v>
      </c>
      <c r="G30" s="3" t="s">
        <v>436</v>
      </c>
    </row>
    <row r="31" spans="1:7" x14ac:dyDescent="0.25">
      <c r="A31" s="9"/>
      <c r="B31" s="7"/>
      <c r="C31" s="7"/>
      <c r="D31" s="12"/>
      <c r="E31" s="12"/>
      <c r="F31" s="12"/>
      <c r="G31" s="3"/>
    </row>
    <row r="32" spans="1:7" x14ac:dyDescent="0.25">
      <c r="A32" s="9"/>
      <c r="B32" s="7" t="s">
        <v>5</v>
      </c>
      <c r="C32" s="7"/>
      <c r="D32" s="12"/>
      <c r="E32" s="12"/>
      <c r="F32" s="12"/>
      <c r="G32" s="3"/>
    </row>
    <row r="33" spans="1:8" ht="30" x14ac:dyDescent="0.25">
      <c r="A33" s="9"/>
      <c r="B33" s="7"/>
      <c r="C33" s="7" t="s">
        <v>6</v>
      </c>
      <c r="D33" s="12">
        <f t="shared" si="0"/>
        <v>75000</v>
      </c>
      <c r="E33" s="12"/>
      <c r="F33" s="12">
        <f>+'Draft FY26-27 Budget for 4-3-26'!G33</f>
        <v>75000</v>
      </c>
      <c r="G33" s="3" t="s">
        <v>424</v>
      </c>
    </row>
    <row r="34" spans="1:8" ht="30" x14ac:dyDescent="0.25">
      <c r="A34" s="9"/>
      <c r="B34" s="7"/>
      <c r="C34" s="7" t="s">
        <v>7</v>
      </c>
      <c r="D34" s="12">
        <f t="shared" si="0"/>
        <v>5000</v>
      </c>
      <c r="E34" s="12"/>
      <c r="F34" s="12">
        <f>+'Draft FY26-27 Budget for 4-3-26'!G34</f>
        <v>5000</v>
      </c>
      <c r="G34" s="3" t="s">
        <v>584</v>
      </c>
    </row>
    <row r="35" spans="1:8" x14ac:dyDescent="0.25">
      <c r="A35" s="9"/>
      <c r="B35" s="7"/>
      <c r="C35" s="7" t="s">
        <v>8</v>
      </c>
      <c r="D35" s="12">
        <f t="shared" si="0"/>
        <v>14000</v>
      </c>
      <c r="E35" s="12"/>
      <c r="F35" s="12">
        <f>+'Draft FY26-27 Budget for 4-3-26'!G35</f>
        <v>14000</v>
      </c>
      <c r="G35" s="3" t="s">
        <v>577</v>
      </c>
    </row>
    <row r="36" spans="1:8" x14ac:dyDescent="0.25">
      <c r="A36" s="9"/>
      <c r="B36" s="7"/>
      <c r="C36" s="7"/>
      <c r="D36" s="12"/>
      <c r="E36" s="12"/>
      <c r="F36" s="12"/>
      <c r="G36" s="3"/>
    </row>
    <row r="37" spans="1:8" x14ac:dyDescent="0.25">
      <c r="A37" s="9"/>
      <c r="B37" s="7" t="s">
        <v>9</v>
      </c>
      <c r="C37" s="7"/>
      <c r="D37" s="12"/>
      <c r="E37" s="12"/>
      <c r="F37" s="12"/>
      <c r="G37" s="3"/>
    </row>
    <row r="38" spans="1:8" x14ac:dyDescent="0.25">
      <c r="A38" s="9"/>
      <c r="B38" s="7"/>
      <c r="C38" s="7" t="s">
        <v>100</v>
      </c>
      <c r="D38" s="12">
        <f>+F38*0.5</f>
        <v>5000</v>
      </c>
      <c r="E38" s="12">
        <f>+F38*0.5</f>
        <v>5000</v>
      </c>
      <c r="F38" s="12">
        <f>+'Draft FY26-27 Budget for 4-3-26'!G38</f>
        <v>10000</v>
      </c>
      <c r="G38" s="3" t="s">
        <v>434</v>
      </c>
    </row>
    <row r="39" spans="1:8" x14ac:dyDescent="0.25">
      <c r="A39" s="9"/>
      <c r="B39" s="7"/>
      <c r="C39" s="7" t="s">
        <v>432</v>
      </c>
      <c r="D39" s="12">
        <f>+F39</f>
        <v>10000</v>
      </c>
      <c r="E39" s="12"/>
      <c r="F39" s="12">
        <f>+'Draft FY26-27 Budget for 4-3-26'!G39</f>
        <v>10000</v>
      </c>
      <c r="G39" s="3" t="s">
        <v>431</v>
      </c>
    </row>
    <row r="40" spans="1:8" x14ac:dyDescent="0.25">
      <c r="A40" s="9"/>
      <c r="B40" s="7"/>
      <c r="C40" s="7" t="s">
        <v>10</v>
      </c>
      <c r="D40" s="12"/>
      <c r="E40" s="12">
        <f t="shared" ref="E40:E41" si="1">+F40</f>
        <v>3600</v>
      </c>
      <c r="F40" s="12">
        <f>+'Draft FY26-27 Budget for 4-3-26'!G40</f>
        <v>3600</v>
      </c>
      <c r="G40" s="3" t="s">
        <v>170</v>
      </c>
    </row>
    <row r="41" spans="1:8" x14ac:dyDescent="0.25">
      <c r="A41" s="9"/>
      <c r="B41" s="7"/>
      <c r="C41" s="7" t="s">
        <v>11</v>
      </c>
      <c r="D41" s="12"/>
      <c r="E41" s="12">
        <f t="shared" si="1"/>
        <v>7500</v>
      </c>
      <c r="F41" s="12">
        <f>+'Draft FY26-27 Budget for 4-3-26'!G41</f>
        <v>7500</v>
      </c>
      <c r="G41" s="3" t="s">
        <v>437</v>
      </c>
    </row>
    <row r="42" spans="1:8" x14ac:dyDescent="0.25">
      <c r="A42" s="9"/>
      <c r="B42" s="7"/>
      <c r="C42" s="7"/>
      <c r="D42" s="12"/>
      <c r="E42" s="12"/>
      <c r="F42" s="12"/>
      <c r="G42" s="3"/>
    </row>
    <row r="43" spans="1:8" x14ac:dyDescent="0.25">
      <c r="A43" s="9"/>
      <c r="B43" s="7" t="s">
        <v>12</v>
      </c>
      <c r="C43" s="7"/>
      <c r="D43" s="12"/>
      <c r="E43" s="12">
        <f>+F43</f>
        <v>21000</v>
      </c>
      <c r="F43" s="12">
        <f>+'Draft FY26-27 Budget for 4-3-26'!G43</f>
        <v>21000</v>
      </c>
      <c r="G43" s="3" t="s">
        <v>423</v>
      </c>
    </row>
    <row r="44" spans="1:8" x14ac:dyDescent="0.25">
      <c r="A44" s="9"/>
      <c r="B44" s="7"/>
      <c r="C44" s="7"/>
      <c r="D44" s="12"/>
      <c r="E44" s="12"/>
      <c r="F44" s="12"/>
      <c r="G44" s="3"/>
    </row>
    <row r="45" spans="1:8" x14ac:dyDescent="0.25">
      <c r="A45" s="9"/>
      <c r="B45" s="7" t="s">
        <v>101</v>
      </c>
      <c r="C45" s="7"/>
      <c r="D45" s="12">
        <f>+F45</f>
        <v>13500</v>
      </c>
      <c r="E45" s="12"/>
      <c r="F45" s="12">
        <f>+'Draft FY26-27 Budget for 4-3-26'!G45</f>
        <v>13500</v>
      </c>
      <c r="G45" s="3" t="s">
        <v>512</v>
      </c>
    </row>
    <row r="46" spans="1:8" x14ac:dyDescent="0.25">
      <c r="A46" s="9"/>
      <c r="B46" s="7"/>
      <c r="C46" s="7"/>
      <c r="D46" s="12"/>
      <c r="E46" s="12"/>
      <c r="F46" s="12"/>
      <c r="G46" s="3"/>
    </row>
    <row r="47" spans="1:8" x14ac:dyDescent="0.25">
      <c r="A47" s="9"/>
      <c r="B47" s="7" t="s">
        <v>25</v>
      </c>
      <c r="C47" s="7"/>
      <c r="D47" s="12">
        <f t="shared" si="0"/>
        <v>2000</v>
      </c>
      <c r="E47" s="12"/>
      <c r="F47" s="12">
        <f>+'Draft FY26-27 Budget for 4-3-26'!G47</f>
        <v>2000</v>
      </c>
      <c r="G47" s="3" t="s">
        <v>539</v>
      </c>
      <c r="H47" s="11"/>
    </row>
    <row r="48" spans="1:8" x14ac:dyDescent="0.25">
      <c r="A48" s="9"/>
      <c r="B48" s="7"/>
      <c r="C48" s="7"/>
      <c r="D48" s="12"/>
      <c r="E48" s="12"/>
      <c r="F48" s="12"/>
      <c r="G48" s="3"/>
    </row>
    <row r="49" spans="1:8" x14ac:dyDescent="0.25">
      <c r="A49" s="9"/>
      <c r="B49" s="7" t="s">
        <v>333</v>
      </c>
      <c r="C49" s="7"/>
      <c r="D49" s="12"/>
      <c r="E49" s="12"/>
      <c r="F49" s="12"/>
      <c r="G49" s="3"/>
      <c r="H49" s="11"/>
    </row>
    <row r="50" spans="1:8" x14ac:dyDescent="0.25">
      <c r="A50" s="9"/>
      <c r="B50" s="7"/>
      <c r="C50" s="7" t="s">
        <v>49</v>
      </c>
      <c r="D50" s="12">
        <f t="shared" si="0"/>
        <v>21000</v>
      </c>
      <c r="E50" s="12"/>
      <c r="F50" s="12">
        <f>+'Draft FY26-27 Budget for 4-3-26'!G50</f>
        <v>21000</v>
      </c>
      <c r="G50" s="3" t="s">
        <v>565</v>
      </c>
      <c r="H50" s="11"/>
    </row>
    <row r="51" spans="1:8" x14ac:dyDescent="0.25">
      <c r="A51" s="9"/>
      <c r="B51" s="7"/>
      <c r="C51" s="7" t="s">
        <v>50</v>
      </c>
      <c r="D51" s="12">
        <f t="shared" si="0"/>
        <v>4000</v>
      </c>
      <c r="E51" s="12"/>
      <c r="F51" s="12">
        <f>+'Draft FY26-27 Budget for 4-3-26'!G51</f>
        <v>4000</v>
      </c>
      <c r="G51" s="3" t="s">
        <v>540</v>
      </c>
    </row>
    <row r="52" spans="1:8" hidden="1" x14ac:dyDescent="0.25">
      <c r="A52" s="9"/>
      <c r="B52" s="7"/>
      <c r="C52" s="7" t="s">
        <v>175</v>
      </c>
      <c r="D52" s="12">
        <f t="shared" si="0"/>
        <v>0</v>
      </c>
      <c r="E52" s="12"/>
      <c r="F52" s="12">
        <f>+'Draft FY26-27 Budget for 4-3-26'!G52</f>
        <v>0</v>
      </c>
      <c r="G52" s="3"/>
    </row>
    <row r="53" spans="1:8" x14ac:dyDescent="0.25">
      <c r="A53" s="9"/>
      <c r="B53" s="7"/>
      <c r="C53" s="7"/>
      <c r="D53" s="12"/>
      <c r="E53" s="12"/>
      <c r="F53" s="12"/>
      <c r="G53" s="3"/>
    </row>
    <row r="54" spans="1:8" x14ac:dyDescent="0.25">
      <c r="A54" s="9"/>
      <c r="B54" s="7" t="s">
        <v>13</v>
      </c>
      <c r="C54" s="7"/>
      <c r="D54" s="12">
        <f t="shared" si="0"/>
        <v>3700</v>
      </c>
      <c r="E54" s="12"/>
      <c r="F54" s="12">
        <f>+'Draft FY26-27 Budget for 4-3-26'!G54</f>
        <v>3700</v>
      </c>
      <c r="G54" s="3" t="s">
        <v>446</v>
      </c>
    </row>
    <row r="55" spans="1:8" x14ac:dyDescent="0.25">
      <c r="A55" s="9"/>
      <c r="B55" s="7"/>
      <c r="C55" s="7"/>
      <c r="D55" s="12"/>
      <c r="E55" s="12"/>
      <c r="F55" s="12"/>
      <c r="G55" s="3"/>
    </row>
    <row r="56" spans="1:8" x14ac:dyDescent="0.25">
      <c r="A56" s="9"/>
      <c r="B56" s="7" t="s">
        <v>14</v>
      </c>
      <c r="C56" s="7"/>
      <c r="D56" s="12">
        <f t="shared" si="0"/>
        <v>19200</v>
      </c>
      <c r="E56" s="12"/>
      <c r="F56" s="12">
        <f>+'Draft FY26-27 Budget for 4-3-26'!G56</f>
        <v>19200</v>
      </c>
      <c r="G56" s="3" t="s">
        <v>422</v>
      </c>
    </row>
    <row r="57" spans="1:8" x14ac:dyDescent="0.25">
      <c r="A57" s="9"/>
      <c r="B57" s="7"/>
      <c r="C57" s="7"/>
      <c r="D57" s="12"/>
      <c r="E57" s="12"/>
      <c r="F57" s="12"/>
      <c r="G57" s="3"/>
    </row>
    <row r="58" spans="1:8" ht="30" x14ac:dyDescent="0.25">
      <c r="A58" s="7"/>
      <c r="B58" s="7" t="s">
        <v>15</v>
      </c>
      <c r="C58" s="7"/>
      <c r="D58" s="12">
        <f t="shared" si="0"/>
        <v>23200</v>
      </c>
      <c r="E58" s="12"/>
      <c r="F58" s="12">
        <f>+'Draft FY26-27 Budget for 4-3-26'!G58</f>
        <v>23200</v>
      </c>
      <c r="G58" s="3" t="s">
        <v>541</v>
      </c>
    </row>
    <row r="59" spans="1:8" x14ac:dyDescent="0.25">
      <c r="A59" s="9"/>
      <c r="B59" s="7"/>
      <c r="C59" s="7"/>
      <c r="D59" s="12"/>
      <c r="E59" s="12"/>
      <c r="F59" s="12"/>
      <c r="G59" s="3"/>
    </row>
    <row r="60" spans="1:8" x14ac:dyDescent="0.25">
      <c r="B60" s="7" t="s">
        <v>26</v>
      </c>
      <c r="C60" s="7"/>
      <c r="D60" s="12"/>
      <c r="E60" s="12">
        <f>+F60</f>
        <v>118800</v>
      </c>
      <c r="F60" s="12">
        <f>+'Draft FY26-27 Budget for 4-3-26'!G60</f>
        <v>118800</v>
      </c>
      <c r="G60" s="3" t="s">
        <v>530</v>
      </c>
    </row>
    <row r="61" spans="1:8" ht="8.1" customHeight="1" x14ac:dyDescent="0.25">
      <c r="C61" s="7"/>
      <c r="D61" s="12"/>
      <c r="E61" s="12"/>
      <c r="F61" s="12"/>
    </row>
    <row r="62" spans="1:8" ht="15.75" thickBot="1" x14ac:dyDescent="0.3">
      <c r="A62" s="9" t="s">
        <v>16</v>
      </c>
      <c r="C62" s="7"/>
      <c r="D62" s="33">
        <f t="shared" ref="D62:E62" si="2">SUM(D12:D61)</f>
        <v>403750</v>
      </c>
      <c r="E62" s="33">
        <f t="shared" si="2"/>
        <v>176650</v>
      </c>
      <c r="F62" s="13">
        <f>SUM(F12:F61)</f>
        <v>580400</v>
      </c>
    </row>
    <row r="63" spans="1:8" ht="8.1" customHeight="1" thickTop="1" x14ac:dyDescent="0.25">
      <c r="A63" s="9"/>
      <c r="C63" s="7"/>
      <c r="D63" s="14"/>
      <c r="E63" s="14"/>
      <c r="F63" s="14"/>
    </row>
    <row r="64" spans="1:8" ht="15.75" thickBot="1" x14ac:dyDescent="0.3">
      <c r="A64" s="9" t="s">
        <v>17</v>
      </c>
      <c r="C64" s="3"/>
      <c r="D64" s="14"/>
      <c r="E64" s="14"/>
      <c r="F64" s="16">
        <f>+F9-F62</f>
        <v>0</v>
      </c>
    </row>
    <row r="65" spans="1:7" ht="15.75" thickTop="1" x14ac:dyDescent="0.25">
      <c r="D65" s="98"/>
      <c r="E65" s="98"/>
      <c r="F65" s="98"/>
    </row>
    <row r="66" spans="1:7" x14ac:dyDescent="0.25">
      <c r="C66" s="34" t="s">
        <v>420</v>
      </c>
      <c r="D66" s="143">
        <f>+D62/F62</f>
        <v>0.69564093728463128</v>
      </c>
      <c r="E66" s="143">
        <f>+E62/F62</f>
        <v>0.30435906271536872</v>
      </c>
      <c r="F66" s="98"/>
    </row>
    <row r="67" spans="1:7" x14ac:dyDescent="0.25">
      <c r="D67" s="98"/>
      <c r="E67" s="98"/>
      <c r="F67" s="98"/>
    </row>
    <row r="68" spans="1:7" ht="18.75" x14ac:dyDescent="0.3">
      <c r="A68" s="6" t="s">
        <v>0</v>
      </c>
      <c r="B68" s="10"/>
      <c r="C68" s="10"/>
    </row>
    <row r="69" spans="1:7" ht="18.75" x14ac:dyDescent="0.3">
      <c r="A69" s="6" t="s">
        <v>419</v>
      </c>
      <c r="B69" s="10"/>
      <c r="C69" s="10"/>
    </row>
    <row r="70" spans="1:7" ht="8.1" customHeight="1" x14ac:dyDescent="0.3">
      <c r="D70" s="10"/>
      <c r="E70" s="10"/>
      <c r="F70" s="10"/>
    </row>
    <row r="71" spans="1:7" ht="30" x14ac:dyDescent="0.25">
      <c r="D71" s="4"/>
      <c r="E71" s="4" t="str">
        <f>+E5</f>
        <v>Tourism Related</v>
      </c>
      <c r="F71" s="4" t="str">
        <f>+F5</f>
        <v>Total Budget</v>
      </c>
    </row>
    <row r="72" spans="1:7" ht="8.1" customHeight="1" x14ac:dyDescent="0.25">
      <c r="D72" s="4"/>
      <c r="E72" s="4"/>
      <c r="F72" s="4"/>
    </row>
    <row r="73" spans="1:7" x14ac:dyDescent="0.25">
      <c r="A73" s="9" t="s">
        <v>28</v>
      </c>
      <c r="C73" s="3"/>
      <c r="D73" s="14"/>
      <c r="E73" s="14">
        <f>+E60</f>
        <v>118800</v>
      </c>
      <c r="F73" s="14">
        <f>+F60</f>
        <v>118800</v>
      </c>
      <c r="G73" s="61"/>
    </row>
    <row r="74" spans="1:7" ht="8.1" customHeight="1" x14ac:dyDescent="0.25">
      <c r="B74" s="7"/>
      <c r="C74" s="3"/>
    </row>
    <row r="75" spans="1:7" x14ac:dyDescent="0.25">
      <c r="C75" s="7" t="s">
        <v>102</v>
      </c>
      <c r="D75" s="12"/>
      <c r="E75" s="12">
        <f>+F75</f>
        <v>48000</v>
      </c>
      <c r="F75" s="12">
        <f>+'Draft FY26-27 Budget for 4-3-26'!G75</f>
        <v>48000</v>
      </c>
      <c r="G75" s="1" t="s">
        <v>583</v>
      </c>
    </row>
    <row r="76" spans="1:7" x14ac:dyDescent="0.25">
      <c r="C76" s="7" t="s">
        <v>27</v>
      </c>
      <c r="D76" s="12"/>
      <c r="E76" s="12">
        <f t="shared" ref="E76:E84" si="3">+F76</f>
        <v>38300</v>
      </c>
      <c r="F76" s="12">
        <f>+'Draft FY26-27 Budget for 4-3-26'!G76</f>
        <v>38300</v>
      </c>
      <c r="G76" s="1" t="s">
        <v>542</v>
      </c>
    </row>
    <row r="77" spans="1:7" x14ac:dyDescent="0.25">
      <c r="C77" s="7" t="s">
        <v>103</v>
      </c>
      <c r="D77" s="12"/>
      <c r="E77" s="12">
        <f t="shared" si="3"/>
        <v>14000</v>
      </c>
      <c r="F77" s="12">
        <f>+'Draft FY26-27 Budget for 4-3-26'!G77</f>
        <v>14000</v>
      </c>
      <c r="G77" s="1" t="s">
        <v>580</v>
      </c>
    </row>
    <row r="78" spans="1:7" hidden="1" x14ac:dyDescent="0.25">
      <c r="C78" s="7" t="s">
        <v>182</v>
      </c>
      <c r="D78" s="12"/>
      <c r="E78" s="12">
        <f t="shared" si="3"/>
        <v>0</v>
      </c>
      <c r="F78" s="12">
        <f>+'Draft FY26-27 Budget for 4-3-26'!G78</f>
        <v>0</v>
      </c>
    </row>
    <row r="79" spans="1:7" x14ac:dyDescent="0.25">
      <c r="C79" s="7" t="s">
        <v>105</v>
      </c>
      <c r="D79" s="12"/>
      <c r="E79" s="12">
        <f t="shared" si="3"/>
        <v>8000</v>
      </c>
      <c r="F79" s="12">
        <f>+'Draft FY26-27 Budget for 4-3-26'!G79</f>
        <v>8000</v>
      </c>
      <c r="G79" s="1" t="s">
        <v>582</v>
      </c>
    </row>
    <row r="80" spans="1:7" x14ac:dyDescent="0.25">
      <c r="C80" s="7" t="s">
        <v>106</v>
      </c>
      <c r="D80" s="12"/>
      <c r="E80" s="12">
        <f t="shared" si="3"/>
        <v>6000</v>
      </c>
      <c r="F80" s="12">
        <f>+'Draft FY26-27 Budget for 4-3-26'!G80</f>
        <v>6000</v>
      </c>
      <c r="G80" s="1" t="s">
        <v>582</v>
      </c>
    </row>
    <row r="81" spans="3:7" x14ac:dyDescent="0.25">
      <c r="C81" s="7" t="s">
        <v>560</v>
      </c>
      <c r="D81" s="12"/>
      <c r="E81" s="12">
        <f t="shared" si="3"/>
        <v>4500</v>
      </c>
      <c r="F81" s="12">
        <f>+'Draft FY26-27 Budget for 4-3-26'!G81</f>
        <v>4500</v>
      </c>
      <c r="G81" s="1" t="s">
        <v>569</v>
      </c>
    </row>
    <row r="82" spans="3:7" hidden="1" x14ac:dyDescent="0.25">
      <c r="C82" s="7" t="s">
        <v>578</v>
      </c>
      <c r="D82" s="12"/>
      <c r="E82" s="12">
        <f t="shared" si="3"/>
        <v>0</v>
      </c>
      <c r="F82" s="12">
        <f>+'Draft FY26-27 Budget for 4-3-26'!G82</f>
        <v>0</v>
      </c>
      <c r="G82" s="1" t="s">
        <v>581</v>
      </c>
    </row>
    <row r="83" spans="3:7" hidden="1" x14ac:dyDescent="0.25">
      <c r="C83" s="7" t="s">
        <v>108</v>
      </c>
      <c r="D83" s="12"/>
      <c r="E83" s="12">
        <f t="shared" si="3"/>
        <v>0</v>
      </c>
      <c r="F83" s="12">
        <f>+'Draft FY26-27 Budget for 4-3-26'!G83</f>
        <v>0</v>
      </c>
      <c r="G83" s="1" t="s">
        <v>581</v>
      </c>
    </row>
    <row r="84" spans="3:7" hidden="1" x14ac:dyDescent="0.25">
      <c r="C84" s="109" t="s">
        <v>184</v>
      </c>
      <c r="D84" s="12"/>
      <c r="E84" s="12">
        <f t="shared" si="3"/>
        <v>0</v>
      </c>
      <c r="F84" s="12">
        <f>+'Draft FY26-27 Budget for 4-3-26'!G84</f>
        <v>0</v>
      </c>
      <c r="G84" s="1" t="s">
        <v>568</v>
      </c>
    </row>
    <row r="85" spans="3:7" ht="15.75" thickBot="1" x14ac:dyDescent="0.3">
      <c r="C85" s="34" t="s">
        <v>3</v>
      </c>
      <c r="D85" s="14"/>
      <c r="E85" s="33">
        <f>SUM(E75:E84)</f>
        <v>118800</v>
      </c>
      <c r="F85" s="33">
        <f>SUM(F75:F84)</f>
        <v>118800</v>
      </c>
    </row>
    <row r="86" spans="3:7" ht="15.75" thickTop="1" x14ac:dyDescent="0.25"/>
    <row r="87" spans="3:7" x14ac:dyDescent="0.25">
      <c r="D87" s="71"/>
      <c r="E87" s="71"/>
      <c r="F87" s="71"/>
    </row>
    <row r="88" spans="3:7" x14ac:dyDescent="0.25">
      <c r="D88" s="71"/>
      <c r="E88" s="71"/>
      <c r="F88" s="71"/>
    </row>
    <row r="89" spans="3:7" x14ac:dyDescent="0.25">
      <c r="D89" s="71"/>
      <c r="E89" s="71"/>
      <c r="F89" s="71"/>
    </row>
    <row r="90" spans="3:7" x14ac:dyDescent="0.25">
      <c r="D90" s="71"/>
      <c r="E90" s="71"/>
      <c r="F90" s="71"/>
    </row>
    <row r="91" spans="3:7" x14ac:dyDescent="0.25">
      <c r="D91" s="71"/>
      <c r="E91" s="71"/>
      <c r="F91" s="71"/>
    </row>
  </sheetData>
  <mergeCells count="4">
    <mergeCell ref="A1:G1"/>
    <mergeCell ref="A2:G2"/>
    <mergeCell ref="A3:G3"/>
    <mergeCell ref="A5:C5"/>
  </mergeCells>
  <pageMargins left="0" right="0" top="0.25" bottom="0" header="0.3" footer="0.3"/>
  <pageSetup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7944-AEC1-4345-A234-8F4868F6C2AE}">
  <sheetPr>
    <tabColor theme="8" tint="0.59999389629810485"/>
    <pageSetUpPr fitToPage="1"/>
  </sheetPr>
  <dimension ref="A1:J88"/>
  <sheetViews>
    <sheetView zoomScale="120" zoomScaleNormal="120" workbookViewId="0">
      <pane ySplit="5" topLeftCell="A74" activePane="bottomLeft" state="frozen"/>
      <selection activeCell="H16" sqref="H16"/>
      <selection pane="bottomLeft" activeCell="H16" sqref="H16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4" style="1" customWidth="1"/>
    <col min="4" max="8" width="13.7109375" style="1" customWidth="1"/>
    <col min="9" max="9" width="72.28515625" style="1" customWidth="1"/>
    <col min="10" max="11" width="8.85546875" style="1"/>
    <col min="12" max="12" width="9.5703125" style="1" bestFit="1" customWidth="1"/>
    <col min="13" max="16384" width="8.85546875" style="1"/>
  </cols>
  <sheetData>
    <row r="1" spans="1:9" ht="18.75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</row>
    <row r="2" spans="1:9" ht="18.75" x14ac:dyDescent="0.3">
      <c r="A2" s="214" t="s">
        <v>147</v>
      </c>
      <c r="B2" s="214"/>
      <c r="C2" s="214"/>
      <c r="D2" s="214"/>
      <c r="E2" s="214"/>
      <c r="F2" s="214"/>
      <c r="G2" s="214"/>
      <c r="H2" s="214"/>
      <c r="I2" s="214"/>
    </row>
    <row r="3" spans="1:9" x14ac:dyDescent="0.25">
      <c r="A3" s="215" t="s">
        <v>412</v>
      </c>
      <c r="B3" s="215"/>
      <c r="C3" s="215"/>
      <c r="D3" s="215"/>
      <c r="E3" s="215"/>
      <c r="F3" s="215"/>
      <c r="G3" s="215"/>
      <c r="H3" s="215"/>
      <c r="I3" s="215"/>
    </row>
    <row r="4" spans="1:9" ht="8.1" customHeight="1" x14ac:dyDescent="0.25">
      <c r="A4" s="5"/>
      <c r="B4" s="5"/>
      <c r="C4" s="5"/>
      <c r="D4" s="5"/>
      <c r="E4" s="5"/>
      <c r="F4" s="5"/>
      <c r="G4" s="5"/>
      <c r="H4" s="5"/>
    </row>
    <row r="5" spans="1:9" ht="60" x14ac:dyDescent="0.25">
      <c r="A5" s="215" t="s">
        <v>20</v>
      </c>
      <c r="B5" s="215"/>
      <c r="C5" s="215"/>
      <c r="D5" s="4" t="s">
        <v>365</v>
      </c>
      <c r="E5" s="4" t="s">
        <v>148</v>
      </c>
      <c r="F5" s="4" t="s">
        <v>144</v>
      </c>
      <c r="G5" s="4" t="s">
        <v>149</v>
      </c>
      <c r="H5" s="4" t="s">
        <v>115</v>
      </c>
      <c r="I5" s="4" t="s">
        <v>47</v>
      </c>
    </row>
    <row r="6" spans="1:9" x14ac:dyDescent="0.25">
      <c r="A6" s="9" t="s">
        <v>19</v>
      </c>
      <c r="B6" s="7"/>
      <c r="C6" s="7"/>
      <c r="D6" s="8"/>
      <c r="E6" s="8"/>
      <c r="F6" s="8"/>
      <c r="G6" s="8"/>
      <c r="H6" s="8"/>
    </row>
    <row r="7" spans="1:9" x14ac:dyDescent="0.25">
      <c r="A7" s="7"/>
      <c r="B7" s="7"/>
      <c r="C7" s="7" t="s">
        <v>40</v>
      </c>
      <c r="D7" s="12">
        <f>+'FY 2025-2026 Occupancy Tax'!C18</f>
        <v>423835.67000000004</v>
      </c>
      <c r="E7" s="12">
        <f>+G7/12*6</f>
        <v>250000</v>
      </c>
      <c r="F7" s="12">
        <f>+D7-E7</f>
        <v>173835.67000000004</v>
      </c>
      <c r="G7" s="12">
        <v>500000</v>
      </c>
      <c r="H7" s="12">
        <f>+D7-G7</f>
        <v>-76164.329999999958</v>
      </c>
      <c r="I7" s="1" t="s">
        <v>372</v>
      </c>
    </row>
    <row r="8" spans="1:9" x14ac:dyDescent="0.25">
      <c r="A8" s="9"/>
      <c r="B8" s="7"/>
      <c r="C8" s="7" t="s">
        <v>23</v>
      </c>
      <c r="D8" s="12"/>
      <c r="E8" s="12">
        <f>+G8/12*6</f>
        <v>23221.747900000009</v>
      </c>
      <c r="F8" s="12">
        <f>+D8-E8</f>
        <v>-23221.747900000009</v>
      </c>
      <c r="G8" s="12">
        <v>46443.495800000019</v>
      </c>
      <c r="H8" s="12">
        <f>+D8-G8</f>
        <v>-46443.495800000019</v>
      </c>
      <c r="I8" s="15"/>
    </row>
    <row r="9" spans="1:9" x14ac:dyDescent="0.25">
      <c r="A9" s="9" t="s">
        <v>18</v>
      </c>
      <c r="B9" s="7"/>
      <c r="C9" s="7"/>
      <c r="D9" s="13">
        <f t="shared" ref="D9" si="0">SUM(D7:D8)</f>
        <v>423835.67000000004</v>
      </c>
      <c r="E9" s="13">
        <f>SUM(E7:E8)</f>
        <v>273221.74790000002</v>
      </c>
      <c r="F9" s="13">
        <f>SUM(F7:F8)</f>
        <v>150613.92210000003</v>
      </c>
      <c r="G9" s="13">
        <f t="shared" ref="G9:H9" si="1">SUM(G7:G8)</f>
        <v>546443.49580000003</v>
      </c>
      <c r="H9" s="13">
        <f t="shared" si="1"/>
        <v>-122607.82579999998</v>
      </c>
      <c r="I9" s="61"/>
    </row>
    <row r="10" spans="1:9" ht="8.1" customHeight="1" x14ac:dyDescent="0.25">
      <c r="A10" s="9"/>
      <c r="B10" s="7"/>
      <c r="C10" s="7"/>
      <c r="D10" s="14"/>
      <c r="E10" s="14"/>
      <c r="F10" s="14"/>
      <c r="G10" s="14"/>
      <c r="H10" s="14"/>
    </row>
    <row r="11" spans="1:9" x14ac:dyDescent="0.25">
      <c r="A11" s="9" t="s">
        <v>4</v>
      </c>
      <c r="B11" s="7"/>
      <c r="C11" s="7"/>
      <c r="D11" s="12"/>
      <c r="E11" s="12"/>
      <c r="F11" s="12"/>
      <c r="G11" s="12"/>
      <c r="H11" s="12"/>
    </row>
    <row r="12" spans="1:9" ht="15" customHeight="1" x14ac:dyDescent="0.25">
      <c r="A12" s="9"/>
      <c r="B12" s="7" t="s">
        <v>98</v>
      </c>
      <c r="C12" s="7"/>
      <c r="D12" s="12"/>
      <c r="E12" s="12">
        <f>+G12/12*6</f>
        <v>30000</v>
      </c>
      <c r="F12" s="12">
        <f t="shared" ref="F12:F59" si="2">+D12-E12</f>
        <v>-30000</v>
      </c>
      <c r="G12" s="12">
        <v>60000</v>
      </c>
      <c r="H12" s="12">
        <f>+D12-G12</f>
        <v>-60000</v>
      </c>
    </row>
    <row r="13" spans="1:9" ht="8.1" customHeight="1" x14ac:dyDescent="0.25">
      <c r="A13" s="9"/>
      <c r="B13" s="7"/>
      <c r="C13" s="7"/>
      <c r="D13" s="12"/>
      <c r="E13" s="12"/>
      <c r="F13" s="12"/>
      <c r="G13" s="12"/>
      <c r="H13" s="12"/>
    </row>
    <row r="14" spans="1:9" x14ac:dyDescent="0.25">
      <c r="A14" s="9"/>
      <c r="B14" s="7" t="s">
        <v>120</v>
      </c>
      <c r="D14" s="12">
        <f>+'Hyde County Ledger Exp FY 25-26'!H96</f>
        <v>5000</v>
      </c>
      <c r="E14" s="12">
        <f t="shared" ref="E14:E59" si="3">+G14/12*6</f>
        <v>2500</v>
      </c>
      <c r="F14" s="12">
        <f>+D14-E14</f>
        <v>2500</v>
      </c>
      <c r="G14" s="12">
        <v>5000</v>
      </c>
      <c r="H14" s="12">
        <f>+D14-G14</f>
        <v>0</v>
      </c>
      <c r="I14" s="1" t="s">
        <v>339</v>
      </c>
    </row>
    <row r="15" spans="1:9" ht="8.1" customHeight="1" x14ac:dyDescent="0.25">
      <c r="A15" s="9"/>
      <c r="B15" s="7"/>
      <c r="C15" s="7"/>
      <c r="D15" s="12"/>
      <c r="E15" s="12"/>
      <c r="F15" s="12"/>
      <c r="G15" s="12"/>
      <c r="H15" s="12"/>
    </row>
    <row r="16" spans="1:9" x14ac:dyDescent="0.25">
      <c r="A16" s="9"/>
      <c r="B16" s="7" t="s">
        <v>99</v>
      </c>
      <c r="D16" s="12">
        <f>+'Small Purch Acct FY 25-26'!F82+'Hyde County Ledger Exp FY 25-26'!I96</f>
        <v>17079.900000000001</v>
      </c>
      <c r="E16" s="12">
        <f t="shared" si="3"/>
        <v>30000</v>
      </c>
      <c r="F16" s="12">
        <f t="shared" si="2"/>
        <v>-12920.099999999999</v>
      </c>
      <c r="G16" s="12">
        <v>60000</v>
      </c>
      <c r="H16" s="12">
        <f t="shared" ref="H16:H59" si="4">+D16-G16</f>
        <v>-42920.1</v>
      </c>
    </row>
    <row r="17" spans="1:9" ht="8.1" customHeight="1" x14ac:dyDescent="0.25">
      <c r="A17" s="9"/>
      <c r="B17" s="7"/>
      <c r="C17" s="7"/>
      <c r="D17" s="12"/>
      <c r="E17" s="12"/>
      <c r="F17" s="12"/>
      <c r="G17" s="12"/>
      <c r="H17" s="12"/>
    </row>
    <row r="18" spans="1:9" x14ac:dyDescent="0.25">
      <c r="A18" s="9"/>
      <c r="B18" s="7" t="s">
        <v>157</v>
      </c>
      <c r="D18" s="97"/>
      <c r="E18" s="12">
        <f t="shared" si="3"/>
        <v>5000</v>
      </c>
      <c r="F18" s="12">
        <f t="shared" si="2"/>
        <v>-5000</v>
      </c>
      <c r="G18" s="62">
        <v>10000</v>
      </c>
      <c r="H18" s="12">
        <f t="shared" si="4"/>
        <v>-10000</v>
      </c>
    </row>
    <row r="19" spans="1:9" ht="8.1" customHeight="1" x14ac:dyDescent="0.25">
      <c r="A19" s="9"/>
      <c r="B19" s="7"/>
      <c r="C19" s="7"/>
      <c r="D19" s="12"/>
      <c r="E19" s="12"/>
      <c r="F19" s="12"/>
      <c r="G19" s="12"/>
      <c r="H19" s="12"/>
    </row>
    <row r="20" spans="1:9" x14ac:dyDescent="0.25">
      <c r="A20" s="9"/>
      <c r="B20" s="7" t="s">
        <v>38</v>
      </c>
      <c r="D20" s="12">
        <f>+'Hyde County Ledger Exp FY 25-26'!K96</f>
        <v>1400</v>
      </c>
      <c r="E20" s="12">
        <f t="shared" si="3"/>
        <v>2250</v>
      </c>
      <c r="F20" s="12">
        <f t="shared" si="2"/>
        <v>-850</v>
      </c>
      <c r="G20" s="12">
        <v>4500</v>
      </c>
      <c r="H20" s="12">
        <f t="shared" si="4"/>
        <v>-3100</v>
      </c>
    </row>
    <row r="21" spans="1:9" ht="8.1" customHeight="1" x14ac:dyDescent="0.25">
      <c r="A21" s="9"/>
      <c r="B21" s="7"/>
      <c r="C21" s="7"/>
      <c r="D21" s="12"/>
      <c r="E21" s="12"/>
      <c r="F21" s="12"/>
      <c r="G21" s="12"/>
      <c r="H21" s="12"/>
    </row>
    <row r="22" spans="1:9" x14ac:dyDescent="0.25">
      <c r="A22" s="9"/>
      <c r="B22" s="7" t="s">
        <v>21</v>
      </c>
      <c r="C22" s="7"/>
      <c r="D22" s="12">
        <f>+'Hyde County Ledger Exp FY 25-26'!L96</f>
        <v>637.77</v>
      </c>
      <c r="E22" s="12">
        <f t="shared" si="3"/>
        <v>2500</v>
      </c>
      <c r="F22" s="12">
        <f t="shared" si="2"/>
        <v>-1862.23</v>
      </c>
      <c r="G22" s="12">
        <v>5000</v>
      </c>
      <c r="H22" s="12">
        <f t="shared" si="4"/>
        <v>-4362.2299999999996</v>
      </c>
      <c r="I22" s="3"/>
    </row>
    <row r="23" spans="1:9" ht="8.1" customHeight="1" x14ac:dyDescent="0.25">
      <c r="A23" s="9"/>
      <c r="B23" s="7"/>
      <c r="C23" s="7"/>
      <c r="D23" s="12"/>
      <c r="E23" s="12"/>
      <c r="F23" s="12"/>
      <c r="G23" s="12"/>
      <c r="H23" s="12"/>
    </row>
    <row r="24" spans="1:9" x14ac:dyDescent="0.25">
      <c r="A24" s="9"/>
      <c r="B24" s="7" t="s">
        <v>41</v>
      </c>
      <c r="C24" s="7"/>
      <c r="D24" s="12">
        <f>+'Small Purch Acct FY 25-26'!F84+'Hyde County Ledger Exp FY 25-26'!M96</f>
        <v>6404.579999999999</v>
      </c>
      <c r="E24" s="12">
        <f t="shared" si="3"/>
        <v>12500</v>
      </c>
      <c r="F24" s="12">
        <f t="shared" si="2"/>
        <v>-6095.420000000001</v>
      </c>
      <c r="G24" s="12">
        <v>25000</v>
      </c>
      <c r="H24" s="12">
        <f t="shared" si="4"/>
        <v>-18595.420000000002</v>
      </c>
    </row>
    <row r="25" spans="1:9" ht="8.1" customHeight="1" x14ac:dyDescent="0.25">
      <c r="A25" s="9"/>
      <c r="B25" s="7"/>
      <c r="C25" s="7"/>
      <c r="D25" s="12"/>
      <c r="E25" s="12"/>
      <c r="F25" s="12"/>
      <c r="G25" s="12"/>
      <c r="H25" s="12"/>
    </row>
    <row r="26" spans="1:9" x14ac:dyDescent="0.25">
      <c r="A26" s="9"/>
      <c r="B26" s="7" t="s">
        <v>39</v>
      </c>
      <c r="C26" s="7"/>
      <c r="D26" s="12">
        <f>+'Hyde County Ledger Exp FY 25-26'!N96</f>
        <v>375</v>
      </c>
      <c r="E26" s="12">
        <f t="shared" si="3"/>
        <v>2450</v>
      </c>
      <c r="F26" s="12">
        <f t="shared" si="2"/>
        <v>-2075</v>
      </c>
      <c r="G26" s="12">
        <v>4900</v>
      </c>
      <c r="H26" s="12">
        <f t="shared" si="4"/>
        <v>-4525</v>
      </c>
    </row>
    <row r="27" spans="1:9" ht="8.1" customHeight="1" x14ac:dyDescent="0.25">
      <c r="A27" s="9"/>
      <c r="B27" s="7"/>
      <c r="C27" s="7"/>
      <c r="D27" s="12"/>
      <c r="E27" s="12"/>
      <c r="F27" s="12"/>
      <c r="G27" s="12"/>
      <c r="H27" s="12"/>
    </row>
    <row r="28" spans="1:9" x14ac:dyDescent="0.25">
      <c r="A28" s="9"/>
      <c r="B28" s="7" t="s">
        <v>22</v>
      </c>
      <c r="C28" s="7"/>
      <c r="D28" s="12">
        <f>+'Hyde County Ledger Exp FY 25-26'!O96</f>
        <v>350</v>
      </c>
      <c r="E28" s="12">
        <f t="shared" si="3"/>
        <v>5000</v>
      </c>
      <c r="F28" s="12">
        <f t="shared" si="2"/>
        <v>-4650</v>
      </c>
      <c r="G28" s="12">
        <v>10000</v>
      </c>
      <c r="H28" s="12">
        <f t="shared" si="4"/>
        <v>-9650</v>
      </c>
    </row>
    <row r="29" spans="1:9" ht="8.1" customHeight="1" x14ac:dyDescent="0.25">
      <c r="A29" s="9"/>
      <c r="B29" s="7"/>
      <c r="C29" s="7"/>
      <c r="E29" s="12"/>
      <c r="F29" s="12"/>
      <c r="G29" s="12"/>
      <c r="H29" s="12"/>
    </row>
    <row r="30" spans="1:9" x14ac:dyDescent="0.25">
      <c r="A30" s="9"/>
      <c r="B30" s="7" t="s">
        <v>164</v>
      </c>
      <c r="C30" s="7"/>
      <c r="D30" s="12">
        <f>+'Hyde County Ledger Exp FY 25-26'!P96</f>
        <v>1830</v>
      </c>
      <c r="E30" s="12">
        <f t="shared" si="3"/>
        <v>1850</v>
      </c>
      <c r="F30" s="12">
        <f t="shared" si="2"/>
        <v>-20</v>
      </c>
      <c r="G30" s="12">
        <v>3700</v>
      </c>
      <c r="H30" s="12">
        <f t="shared" si="4"/>
        <v>-1870</v>
      </c>
    </row>
    <row r="31" spans="1:9" ht="8.1" customHeight="1" x14ac:dyDescent="0.25">
      <c r="A31" s="9"/>
      <c r="B31" s="7"/>
      <c r="C31" s="7"/>
      <c r="E31" s="12"/>
      <c r="F31" s="12"/>
      <c r="G31" s="12"/>
      <c r="H31" s="12"/>
    </row>
    <row r="32" spans="1:9" x14ac:dyDescent="0.25">
      <c r="A32" s="9"/>
      <c r="B32" s="7" t="s">
        <v>5</v>
      </c>
      <c r="C32" s="7"/>
      <c r="E32" s="12"/>
      <c r="F32" s="12"/>
      <c r="G32" s="12"/>
      <c r="H32" s="12"/>
    </row>
    <row r="33" spans="1:10" x14ac:dyDescent="0.25">
      <c r="A33" s="9"/>
      <c r="B33" s="89"/>
      <c r="C33" s="89" t="s">
        <v>6</v>
      </c>
      <c r="D33" s="12">
        <f>+'Patriot PR Details RPT FY 25-26'!B12</f>
        <v>35000.04</v>
      </c>
      <c r="E33" s="12">
        <f t="shared" si="3"/>
        <v>35000</v>
      </c>
      <c r="F33" s="12">
        <f t="shared" si="2"/>
        <v>4.0000000000873115E-2</v>
      </c>
      <c r="G33" s="12">
        <v>70000</v>
      </c>
      <c r="H33" s="12">
        <f t="shared" si="4"/>
        <v>-34999.96</v>
      </c>
    </row>
    <row r="34" spans="1:10" x14ac:dyDescent="0.25">
      <c r="A34" s="9"/>
      <c r="B34" s="7"/>
      <c r="C34" s="7" t="s">
        <v>7</v>
      </c>
      <c r="D34" s="12">
        <f>+'Patriot PR Details RPT FY 25-26'!L12+'Patriot PR Details RPT FY 25-26'!M12+'Patriot PR Details RPT FY 25-26'!N12</f>
        <v>2378.39</v>
      </c>
      <c r="E34" s="12">
        <f t="shared" si="3"/>
        <v>2400</v>
      </c>
      <c r="F34" s="12">
        <f t="shared" si="2"/>
        <v>-21.610000000000127</v>
      </c>
      <c r="G34" s="12">
        <v>4800</v>
      </c>
      <c r="H34" s="12">
        <f t="shared" si="4"/>
        <v>-2421.61</v>
      </c>
    </row>
    <row r="35" spans="1:10" x14ac:dyDescent="0.25">
      <c r="A35" s="9"/>
      <c r="B35" s="7"/>
      <c r="C35" s="7" t="s">
        <v>8</v>
      </c>
      <c r="D35" s="12">
        <f>+'FNB Payroll Acct. Rollforward'!E45+'Patriot PR Details RPT FY 25-26'!J12+'Patriot PR Details RPT FY 25-26'!K12</f>
        <v>6027.0000000000009</v>
      </c>
      <c r="E35" s="12">
        <f t="shared" si="3"/>
        <v>6161.702400000001</v>
      </c>
      <c r="F35" s="12">
        <f t="shared" si="2"/>
        <v>-134.70240000000013</v>
      </c>
      <c r="G35" s="12">
        <v>12323.404800000002</v>
      </c>
      <c r="H35" s="12">
        <f t="shared" si="4"/>
        <v>-6296.4048000000012</v>
      </c>
      <c r="I35" s="1" t="s">
        <v>296</v>
      </c>
    </row>
    <row r="36" spans="1:10" ht="8.1" customHeight="1" x14ac:dyDescent="0.25">
      <c r="A36" s="9"/>
      <c r="B36" s="7"/>
      <c r="C36" s="7"/>
      <c r="D36" s="12"/>
      <c r="E36" s="12"/>
      <c r="F36" s="12"/>
      <c r="G36" s="12"/>
      <c r="H36" s="12"/>
    </row>
    <row r="37" spans="1:10" x14ac:dyDescent="0.25">
      <c r="A37" s="9"/>
      <c r="B37" s="7" t="s">
        <v>9</v>
      </c>
      <c r="C37" s="7"/>
      <c r="D37" s="12"/>
      <c r="E37" s="12"/>
      <c r="F37" s="12"/>
      <c r="G37" s="12"/>
      <c r="H37" s="12"/>
    </row>
    <row r="38" spans="1:10" x14ac:dyDescent="0.25">
      <c r="A38" s="9"/>
      <c r="B38" s="7"/>
      <c r="C38" s="7" t="s">
        <v>100</v>
      </c>
      <c r="D38" s="12">
        <f>+'Hyde County Ledger Exp FY 25-26'!Q96</f>
        <v>3401</v>
      </c>
      <c r="E38" s="12">
        <f t="shared" si="3"/>
        <v>6600</v>
      </c>
      <c r="F38" s="12">
        <f t="shared" si="2"/>
        <v>-3199</v>
      </c>
      <c r="G38" s="12">
        <v>13200</v>
      </c>
      <c r="H38" s="12">
        <f t="shared" si="4"/>
        <v>-9799</v>
      </c>
    </row>
    <row r="39" spans="1:10" ht="15" customHeight="1" x14ac:dyDescent="0.25">
      <c r="A39" s="9"/>
      <c r="B39" s="7"/>
      <c r="C39" s="7" t="s">
        <v>10</v>
      </c>
      <c r="D39" s="12">
        <f>+'Hyde County Ledger Exp FY 25-26'!R96</f>
        <v>1327.5</v>
      </c>
      <c r="E39" s="12">
        <f t="shared" si="3"/>
        <v>1800</v>
      </c>
      <c r="F39" s="12">
        <f t="shared" si="2"/>
        <v>-472.5</v>
      </c>
      <c r="G39" s="12">
        <v>3600</v>
      </c>
      <c r="H39" s="12">
        <f t="shared" si="4"/>
        <v>-2272.5</v>
      </c>
    </row>
    <row r="40" spans="1:10" x14ac:dyDescent="0.25">
      <c r="A40" s="9"/>
      <c r="B40" s="7"/>
      <c r="C40" s="7" t="s">
        <v>11</v>
      </c>
      <c r="D40" s="12">
        <f>+'Hyde County Ledger Exp FY 25-26'!S96</f>
        <v>500</v>
      </c>
      <c r="E40" s="12">
        <f t="shared" si="3"/>
        <v>3500</v>
      </c>
      <c r="F40" s="12">
        <f t="shared" si="2"/>
        <v>-3000</v>
      </c>
      <c r="G40" s="12">
        <v>7000</v>
      </c>
      <c r="H40" s="12">
        <f t="shared" si="4"/>
        <v>-6500</v>
      </c>
    </row>
    <row r="41" spans="1:10" ht="8.1" customHeight="1" x14ac:dyDescent="0.25">
      <c r="A41" s="9"/>
      <c r="B41" s="7"/>
      <c r="C41" s="7"/>
      <c r="D41" s="12"/>
      <c r="E41" s="12"/>
      <c r="F41" s="12"/>
      <c r="G41" s="12"/>
      <c r="H41" s="12"/>
    </row>
    <row r="42" spans="1:10" x14ac:dyDescent="0.25">
      <c r="A42" s="9"/>
      <c r="B42" s="7" t="s">
        <v>12</v>
      </c>
      <c r="C42" s="7"/>
      <c r="D42" s="12">
        <f>+'Hyde County Ledger Exp FY 25-26'!T96</f>
        <v>20910</v>
      </c>
      <c r="E42" s="12">
        <f t="shared" si="3"/>
        <v>10500</v>
      </c>
      <c r="F42" s="12">
        <f t="shared" si="2"/>
        <v>10410</v>
      </c>
      <c r="G42" s="12">
        <v>21000</v>
      </c>
      <c r="H42" s="12">
        <f t="shared" si="4"/>
        <v>-90</v>
      </c>
      <c r="I42" s="1" t="s">
        <v>265</v>
      </c>
    </row>
    <row r="43" spans="1:10" ht="8.1" customHeight="1" x14ac:dyDescent="0.25">
      <c r="A43" s="9"/>
      <c r="B43" s="7"/>
      <c r="C43" s="7"/>
      <c r="D43" s="12"/>
      <c r="E43" s="12"/>
      <c r="F43" s="12"/>
      <c r="G43" s="12"/>
      <c r="H43" s="12"/>
    </row>
    <row r="44" spans="1:10" x14ac:dyDescent="0.25">
      <c r="A44" s="9"/>
      <c r="B44" s="7" t="s">
        <v>101</v>
      </c>
      <c r="C44" s="7"/>
      <c r="D44" s="12">
        <f>+'Small Purch Acct FY 25-26'!F80+'Hyde County Ledger Exp FY 25-26'!U96</f>
        <v>4881.92</v>
      </c>
      <c r="E44" s="12">
        <f t="shared" si="3"/>
        <v>4500</v>
      </c>
      <c r="F44" s="12">
        <f t="shared" si="2"/>
        <v>381.92000000000007</v>
      </c>
      <c r="G44" s="12">
        <v>9000</v>
      </c>
      <c r="H44" s="12">
        <f t="shared" si="4"/>
        <v>-4118.08</v>
      </c>
    </row>
    <row r="45" spans="1:10" ht="8.1" customHeight="1" x14ac:dyDescent="0.25">
      <c r="A45" s="9"/>
      <c r="B45" s="7"/>
      <c r="C45" s="7"/>
      <c r="D45" s="12"/>
      <c r="E45" s="12"/>
      <c r="F45" s="12"/>
      <c r="G45" s="12"/>
      <c r="H45" s="12"/>
    </row>
    <row r="46" spans="1:10" ht="15" customHeight="1" x14ac:dyDescent="0.25">
      <c r="A46" s="9"/>
      <c r="B46" s="7" t="s">
        <v>25</v>
      </c>
      <c r="C46" s="7"/>
      <c r="D46" s="12">
        <f>+'Small Purch Acct FY 25-26'!F83+'Hyde County Ledger Exp FY 25-26'!V96</f>
        <v>144.97</v>
      </c>
      <c r="E46" s="12">
        <f t="shared" si="3"/>
        <v>1500</v>
      </c>
      <c r="F46" s="12">
        <f t="shared" si="2"/>
        <v>-1355.03</v>
      </c>
      <c r="G46" s="12">
        <v>3000</v>
      </c>
      <c r="H46" s="12">
        <f t="shared" si="4"/>
        <v>-2855.03</v>
      </c>
      <c r="J46" s="11"/>
    </row>
    <row r="47" spans="1:10" ht="8.1" customHeight="1" x14ac:dyDescent="0.25">
      <c r="A47" s="9"/>
      <c r="B47" s="7"/>
      <c r="C47" s="7"/>
      <c r="D47" s="12"/>
      <c r="E47" s="12"/>
      <c r="F47" s="12"/>
      <c r="G47" s="12"/>
      <c r="H47" s="12"/>
    </row>
    <row r="48" spans="1:10" ht="15" customHeight="1" x14ac:dyDescent="0.25">
      <c r="A48" s="9"/>
      <c r="B48" s="7" t="s">
        <v>333</v>
      </c>
      <c r="C48" s="7"/>
      <c r="D48" s="12"/>
      <c r="E48" s="12"/>
      <c r="F48" s="12"/>
      <c r="G48" s="12"/>
      <c r="H48" s="12"/>
      <c r="I48" s="89"/>
      <c r="J48" s="11"/>
    </row>
    <row r="49" spans="1:10" ht="15" customHeight="1" x14ac:dyDescent="0.25">
      <c r="A49" s="9"/>
      <c r="C49" s="7" t="s">
        <v>49</v>
      </c>
      <c r="D49" s="12">
        <f>+'Hyde County Ledger Exp FY 25-26'!W96</f>
        <v>10362.709999999999</v>
      </c>
      <c r="E49" s="12">
        <f t="shared" si="3"/>
        <v>10500</v>
      </c>
      <c r="F49" s="12">
        <f t="shared" si="2"/>
        <v>-137.29000000000087</v>
      </c>
      <c r="G49" s="12">
        <v>21000</v>
      </c>
      <c r="H49" s="12">
        <f t="shared" si="4"/>
        <v>-10637.29</v>
      </c>
      <c r="I49" s="89" t="s">
        <v>361</v>
      </c>
      <c r="J49" s="11"/>
    </row>
    <row r="50" spans="1:10" ht="15" customHeight="1" x14ac:dyDescent="0.25">
      <c r="A50" s="9"/>
      <c r="C50" s="7" t="s">
        <v>50</v>
      </c>
      <c r="D50" s="12">
        <f>+'Small Purch Acct FY 25-26'!F81+'Hyde County Ledger Exp FY 25-26'!X96</f>
        <v>1471</v>
      </c>
      <c r="E50" s="12">
        <f t="shared" si="3"/>
        <v>1875</v>
      </c>
      <c r="F50" s="12">
        <f t="shared" si="2"/>
        <v>-404</v>
      </c>
      <c r="G50" s="12">
        <v>3750</v>
      </c>
      <c r="H50" s="12">
        <f t="shared" si="4"/>
        <v>-2279</v>
      </c>
      <c r="I50" s="89" t="s">
        <v>266</v>
      </c>
    </row>
    <row r="51" spans="1:10" ht="15" customHeight="1" x14ac:dyDescent="0.25">
      <c r="A51" s="9"/>
      <c r="C51" s="7" t="s">
        <v>175</v>
      </c>
      <c r="D51" s="12"/>
      <c r="E51" s="12">
        <f t="shared" si="3"/>
        <v>500</v>
      </c>
      <c r="F51" s="12">
        <f t="shared" si="2"/>
        <v>-500</v>
      </c>
      <c r="G51" s="12">
        <v>1000</v>
      </c>
      <c r="H51" s="12">
        <f t="shared" si="4"/>
        <v>-1000</v>
      </c>
      <c r="I51" s="89"/>
    </row>
    <row r="52" spans="1:10" ht="8.1" customHeight="1" x14ac:dyDescent="0.25">
      <c r="A52" s="9"/>
      <c r="B52" s="7"/>
      <c r="C52" s="7"/>
      <c r="D52" s="12"/>
      <c r="E52" s="12"/>
      <c r="F52" s="12"/>
      <c r="G52" s="12"/>
      <c r="H52" s="12"/>
    </row>
    <row r="53" spans="1:10" ht="15" customHeight="1" x14ac:dyDescent="0.25">
      <c r="A53" s="9"/>
      <c r="B53" s="7" t="s">
        <v>13</v>
      </c>
      <c r="C53" s="7"/>
      <c r="D53" s="12">
        <f>+'Small Purch Acct FY 25-26'!F85+'Hyde County Ledger Exp FY 25-26'!Z96</f>
        <v>2734.45</v>
      </c>
      <c r="E53" s="12">
        <f t="shared" si="3"/>
        <v>1750</v>
      </c>
      <c r="F53" s="12">
        <f t="shared" si="2"/>
        <v>984.44999999999982</v>
      </c>
      <c r="G53" s="12">
        <v>3500</v>
      </c>
      <c r="H53" s="12">
        <f t="shared" si="4"/>
        <v>-765.55000000000018</v>
      </c>
      <c r="I53" s="1" t="s">
        <v>362</v>
      </c>
    </row>
    <row r="54" spans="1:10" ht="8.1" customHeight="1" x14ac:dyDescent="0.25">
      <c r="A54" s="9"/>
      <c r="B54" s="7"/>
      <c r="C54" s="7"/>
      <c r="D54" s="12"/>
      <c r="E54" s="12"/>
      <c r="F54" s="12"/>
      <c r="G54" s="12"/>
      <c r="H54" s="12"/>
    </row>
    <row r="55" spans="1:10" x14ac:dyDescent="0.25">
      <c r="A55" s="9"/>
      <c r="B55" s="7" t="s">
        <v>14</v>
      </c>
      <c r="C55" s="7"/>
      <c r="D55" s="12">
        <f>+'Hyde County Ledger Exp FY 25-26'!AA96</f>
        <v>9800</v>
      </c>
      <c r="E55" s="12">
        <f t="shared" si="3"/>
        <v>9000</v>
      </c>
      <c r="F55" s="12">
        <f t="shared" si="2"/>
        <v>800</v>
      </c>
      <c r="G55" s="12">
        <v>18000</v>
      </c>
      <c r="H55" s="12">
        <f t="shared" si="4"/>
        <v>-8200</v>
      </c>
      <c r="I55" s="15" t="s">
        <v>408</v>
      </c>
    </row>
    <row r="56" spans="1:10" ht="8.1" customHeight="1" x14ac:dyDescent="0.25">
      <c r="A56" s="9"/>
      <c r="B56" s="7"/>
      <c r="C56" s="7"/>
      <c r="D56" s="12"/>
      <c r="E56" s="12"/>
      <c r="F56" s="12"/>
      <c r="G56" s="12"/>
      <c r="H56" s="12"/>
    </row>
    <row r="57" spans="1:10" ht="15" customHeight="1" x14ac:dyDescent="0.25">
      <c r="A57" s="7"/>
      <c r="B57" s="7" t="s">
        <v>15</v>
      </c>
      <c r="C57" s="7"/>
      <c r="D57" s="12">
        <f>+'Hyde County Ledger Exp FY 25-26'!AB96</f>
        <v>13143.39</v>
      </c>
      <c r="E57" s="12">
        <f t="shared" si="3"/>
        <v>12000</v>
      </c>
      <c r="F57" s="12">
        <f t="shared" si="2"/>
        <v>1143.3899999999994</v>
      </c>
      <c r="G57" s="12">
        <v>24000</v>
      </c>
      <c r="H57" s="12">
        <f t="shared" si="4"/>
        <v>-10856.61</v>
      </c>
    </row>
    <row r="58" spans="1:10" ht="8.1" customHeight="1" x14ac:dyDescent="0.25">
      <c r="A58" s="9"/>
      <c r="B58" s="7"/>
      <c r="C58" s="7"/>
      <c r="D58" s="12"/>
      <c r="E58" s="12"/>
      <c r="F58" s="12"/>
      <c r="G58" s="12"/>
      <c r="H58" s="12"/>
    </row>
    <row r="59" spans="1:10" ht="15" customHeight="1" x14ac:dyDescent="0.25">
      <c r="B59" s="7" t="s">
        <v>26</v>
      </c>
      <c r="C59" s="7"/>
      <c r="D59" s="12">
        <f>+'Hyde County Ledger Exp FY 25-26'!AC96</f>
        <v>69116.72</v>
      </c>
      <c r="E59" s="12">
        <f t="shared" si="3"/>
        <v>71585.045500000007</v>
      </c>
      <c r="F59" s="12">
        <f t="shared" si="2"/>
        <v>-2468.3255000000063</v>
      </c>
      <c r="G59" s="12">
        <v>143170.09100000001</v>
      </c>
      <c r="H59" s="12">
        <f t="shared" si="4"/>
        <v>-74053.371000000014</v>
      </c>
    </row>
    <row r="60" spans="1:10" ht="8.1" customHeight="1" x14ac:dyDescent="0.25">
      <c r="C60" s="7"/>
      <c r="D60" s="12"/>
      <c r="E60" s="12"/>
      <c r="F60" s="12"/>
      <c r="G60" s="12"/>
      <c r="H60" s="12"/>
    </row>
    <row r="61" spans="1:10" x14ac:dyDescent="0.25">
      <c r="A61" s="9" t="s">
        <v>16</v>
      </c>
      <c r="C61" s="7"/>
      <c r="D61" s="13">
        <f>SUM(D12:D60)</f>
        <v>214276.34</v>
      </c>
      <c r="E61" s="13">
        <f>SUM(E12:E60)</f>
        <v>273221.74790000002</v>
      </c>
      <c r="F61" s="13">
        <f>SUM(F12:F60)</f>
        <v>-58945.407900000013</v>
      </c>
      <c r="G61" s="13">
        <f>SUM(G12:G60)</f>
        <v>546443.49580000003</v>
      </c>
      <c r="H61" s="13">
        <f>SUM(H12:H60)</f>
        <v>-332167.15579999995</v>
      </c>
    </row>
    <row r="62" spans="1:10" ht="8.1" customHeight="1" x14ac:dyDescent="0.25">
      <c r="A62" s="9"/>
      <c r="C62" s="7"/>
      <c r="D62" s="14"/>
      <c r="E62" s="14"/>
      <c r="F62" s="14"/>
      <c r="G62" s="14"/>
      <c r="H62" s="14"/>
    </row>
    <row r="63" spans="1:10" ht="15.75" thickBot="1" x14ac:dyDescent="0.3">
      <c r="A63" s="9" t="s">
        <v>17</v>
      </c>
      <c r="C63" s="3"/>
      <c r="D63" s="16">
        <f>+D9-D61</f>
        <v>209559.33000000005</v>
      </c>
      <c r="E63" s="16">
        <f>+E9-E61</f>
        <v>0</v>
      </c>
      <c r="F63" s="16">
        <f>+F9-F61</f>
        <v>209559.33000000005</v>
      </c>
      <c r="G63" s="16">
        <f>+G9-G61</f>
        <v>0</v>
      </c>
      <c r="H63" s="16">
        <f>+H9-H61</f>
        <v>209559.32999999996</v>
      </c>
    </row>
    <row r="64" spans="1:10" ht="15.75" thickTop="1" x14ac:dyDescent="0.25">
      <c r="D64" s="98"/>
      <c r="E64" s="98"/>
      <c r="F64" s="98"/>
      <c r="G64" s="3"/>
      <c r="H64" s="3"/>
    </row>
    <row r="65" spans="1:9" x14ac:dyDescent="0.25">
      <c r="D65" s="98"/>
      <c r="E65" s="98"/>
      <c r="F65" s="98"/>
      <c r="G65" s="3"/>
      <c r="H65" s="3"/>
    </row>
    <row r="66" spans="1:9" x14ac:dyDescent="0.25">
      <c r="D66" s="98"/>
      <c r="E66" s="98"/>
      <c r="F66" s="98"/>
      <c r="G66" s="3"/>
      <c r="H66" s="3"/>
    </row>
    <row r="67" spans="1:9" ht="18.75" x14ac:dyDescent="0.3">
      <c r="A67" s="6" t="s">
        <v>0</v>
      </c>
      <c r="B67" s="10"/>
      <c r="C67" s="10"/>
    </row>
    <row r="68" spans="1:9" ht="18.75" x14ac:dyDescent="0.3">
      <c r="A68" s="6" t="s">
        <v>267</v>
      </c>
      <c r="B68" s="10"/>
      <c r="C68" s="10"/>
    </row>
    <row r="69" spans="1:9" ht="8.1" customHeight="1" x14ac:dyDescent="0.3">
      <c r="D69" s="10"/>
      <c r="E69" s="10"/>
      <c r="F69" s="10"/>
      <c r="G69" s="10"/>
      <c r="H69" s="10"/>
    </row>
    <row r="70" spans="1:9" ht="60" x14ac:dyDescent="0.25">
      <c r="D70" s="4" t="str">
        <f>+D5</f>
        <v>Actual Through 12/31/25</v>
      </c>
      <c r="E70" s="4" t="str">
        <f>+E5</f>
        <v>12 Month
Pro-rata
FY 2025 / 2026 Budget</v>
      </c>
      <c r="F70" s="4" t="s">
        <v>116</v>
      </c>
      <c r="G70" s="4" t="str">
        <f>+G5</f>
        <v>Full Year FY 2025 / 2026
Budget</v>
      </c>
      <c r="H70" s="4" t="s">
        <v>97</v>
      </c>
    </row>
    <row r="71" spans="1:9" ht="8.1" customHeight="1" x14ac:dyDescent="0.25">
      <c r="D71" s="4"/>
      <c r="E71" s="4"/>
      <c r="F71" s="4"/>
      <c r="G71" s="4"/>
      <c r="H71" s="4"/>
    </row>
    <row r="72" spans="1:9" x14ac:dyDescent="0.25">
      <c r="A72" s="9" t="s">
        <v>28</v>
      </c>
      <c r="C72" s="3"/>
      <c r="D72" s="14">
        <f>+D59</f>
        <v>69116.72</v>
      </c>
      <c r="E72" s="14">
        <f>+E59</f>
        <v>71585.045500000007</v>
      </c>
      <c r="F72" s="14">
        <f>+F59</f>
        <v>-2468.3255000000063</v>
      </c>
      <c r="G72" s="14">
        <f>+G59</f>
        <v>143170.09100000001</v>
      </c>
      <c r="H72" s="14">
        <f>+H59</f>
        <v>-74053.371000000014</v>
      </c>
      <c r="I72" s="61"/>
    </row>
    <row r="73" spans="1:9" ht="8.1" customHeight="1" x14ac:dyDescent="0.25">
      <c r="B73" s="7"/>
      <c r="C73" s="3"/>
    </row>
    <row r="74" spans="1:9" x14ac:dyDescent="0.25">
      <c r="C74" s="7" t="s">
        <v>102</v>
      </c>
      <c r="D74" s="2">
        <f>+'Hyde County Ledger Exp FY 25-26'!AC98</f>
        <v>20499.96</v>
      </c>
      <c r="E74" s="2">
        <f>+G74/12*6</f>
        <v>24000</v>
      </c>
      <c r="F74" s="2">
        <f t="shared" ref="F74:F81" si="5">+D74-E74</f>
        <v>-3500.0400000000009</v>
      </c>
      <c r="G74" s="2">
        <v>48000</v>
      </c>
      <c r="H74" s="2">
        <f t="shared" ref="H74:H75" si="6">+D74-G74</f>
        <v>-27500.04</v>
      </c>
      <c r="I74" s="1" t="s">
        <v>409</v>
      </c>
    </row>
    <row r="75" spans="1:9" x14ac:dyDescent="0.25">
      <c r="C75" s="7" t="s">
        <v>27</v>
      </c>
      <c r="D75" s="2">
        <f>+'Hyde County Ledger Exp FY 25-26'!AC99</f>
        <v>18232.560000000001</v>
      </c>
      <c r="E75" s="2">
        <f t="shared" ref="E75:E81" si="7">+G75/12*6</f>
        <v>18235.0455</v>
      </c>
      <c r="F75" s="2">
        <f t="shared" si="5"/>
        <v>-2.485499999998865</v>
      </c>
      <c r="G75" s="2">
        <v>36470.091</v>
      </c>
      <c r="H75" s="2">
        <f t="shared" si="6"/>
        <v>-18237.530999999999</v>
      </c>
      <c r="I75" s="1" t="s">
        <v>410</v>
      </c>
    </row>
    <row r="76" spans="1:9" x14ac:dyDescent="0.25">
      <c r="C76" s="7" t="s">
        <v>103</v>
      </c>
      <c r="D76" s="2">
        <f>+'Hyde County Ledger Exp FY 25-26'!AC100</f>
        <v>16610</v>
      </c>
      <c r="E76" s="2">
        <f t="shared" si="7"/>
        <v>12500</v>
      </c>
      <c r="F76" s="2">
        <f t="shared" si="5"/>
        <v>4110</v>
      </c>
      <c r="G76" s="2">
        <v>25000</v>
      </c>
      <c r="H76" s="2">
        <f t="shared" ref="H76:H81" si="8">+D76-G76</f>
        <v>-8390</v>
      </c>
      <c r="I76" s="1" t="s">
        <v>340</v>
      </c>
    </row>
    <row r="77" spans="1:9" x14ac:dyDescent="0.25">
      <c r="C77" s="7" t="s">
        <v>182</v>
      </c>
      <c r="D77" s="2">
        <f>+'Hyde County Ledger Exp FY 25-26'!AC101</f>
        <v>0</v>
      </c>
      <c r="E77" s="2">
        <f t="shared" si="7"/>
        <v>6000</v>
      </c>
      <c r="F77" s="2">
        <f t="shared" si="5"/>
        <v>-6000</v>
      </c>
      <c r="G77" s="2">
        <v>12000</v>
      </c>
      <c r="H77" s="2">
        <f t="shared" si="8"/>
        <v>-12000</v>
      </c>
      <c r="I77" s="1" t="s">
        <v>183</v>
      </c>
    </row>
    <row r="78" spans="1:9" x14ac:dyDescent="0.25">
      <c r="C78" s="7" t="s">
        <v>184</v>
      </c>
      <c r="D78" s="2">
        <f>+'Hyde County Ledger Exp FY 25-26'!AC102</f>
        <v>0</v>
      </c>
      <c r="E78" s="2">
        <f t="shared" si="7"/>
        <v>1500</v>
      </c>
      <c r="F78" s="2">
        <f t="shared" si="5"/>
        <v>-1500</v>
      </c>
      <c r="G78" s="2">
        <v>3000</v>
      </c>
      <c r="H78" s="2">
        <f t="shared" si="8"/>
        <v>-3000</v>
      </c>
      <c r="I78" s="1" t="s">
        <v>185</v>
      </c>
    </row>
    <row r="79" spans="1:9" x14ac:dyDescent="0.25">
      <c r="C79" s="7" t="s">
        <v>105</v>
      </c>
      <c r="D79" s="2">
        <f>+'Hyde County Ledger Exp FY 25-26'!AC103</f>
        <v>8000</v>
      </c>
      <c r="E79" s="2">
        <f t="shared" si="7"/>
        <v>4000</v>
      </c>
      <c r="F79" s="2">
        <f t="shared" si="5"/>
        <v>4000</v>
      </c>
      <c r="G79" s="2">
        <v>8000</v>
      </c>
      <c r="H79" s="2">
        <f t="shared" si="8"/>
        <v>0</v>
      </c>
      <c r="I79" s="1" t="s">
        <v>360</v>
      </c>
    </row>
    <row r="80" spans="1:9" x14ac:dyDescent="0.25">
      <c r="C80" s="109" t="s">
        <v>106</v>
      </c>
      <c r="D80" s="2">
        <f>+'Hyde County Ledger Exp FY 25-26'!AC104</f>
        <v>5774.2</v>
      </c>
      <c r="E80" s="2">
        <f t="shared" si="7"/>
        <v>3350</v>
      </c>
      <c r="F80" s="2">
        <f t="shared" si="5"/>
        <v>2424.1999999999998</v>
      </c>
      <c r="G80" s="2">
        <v>6700</v>
      </c>
      <c r="H80" s="2">
        <f t="shared" si="8"/>
        <v>-925.80000000000018</v>
      </c>
      <c r="I80" s="1" t="s">
        <v>107</v>
      </c>
    </row>
    <row r="81" spans="3:9" x14ac:dyDescent="0.25">
      <c r="C81" s="109" t="s">
        <v>108</v>
      </c>
      <c r="D81" s="2">
        <f>+'Hyde County Ledger Exp FY 25-26'!AC105</f>
        <v>0</v>
      </c>
      <c r="E81" s="2">
        <f t="shared" si="7"/>
        <v>2000</v>
      </c>
      <c r="F81" s="2">
        <f t="shared" si="5"/>
        <v>-2000</v>
      </c>
      <c r="G81" s="2">
        <v>4000</v>
      </c>
      <c r="H81" s="2">
        <f t="shared" si="8"/>
        <v>-4000</v>
      </c>
      <c r="I81" s="1" t="s">
        <v>364</v>
      </c>
    </row>
    <row r="82" spans="3:9" ht="15.75" thickBot="1" x14ac:dyDescent="0.3">
      <c r="C82" s="34" t="s">
        <v>3</v>
      </c>
      <c r="D82" s="33">
        <f>SUM(D74:D81)</f>
        <v>69116.72</v>
      </c>
      <c r="E82" s="33">
        <f>SUM(E74:E81)</f>
        <v>71585.045500000007</v>
      </c>
      <c r="F82" s="33">
        <f>SUM(F74:F81)</f>
        <v>-2468.3254999999999</v>
      </c>
      <c r="G82" s="33">
        <f>SUM(G74:G81)</f>
        <v>143170.09100000001</v>
      </c>
      <c r="H82" s="33">
        <f>SUM(H74:H81)</f>
        <v>-74053.370999999999</v>
      </c>
    </row>
    <row r="83" spans="3:9" ht="15.75" thickTop="1" x14ac:dyDescent="0.25">
      <c r="H83" s="2"/>
    </row>
    <row r="84" spans="3:9" x14ac:dyDescent="0.25">
      <c r="D84" s="71"/>
      <c r="E84" s="71"/>
      <c r="F84" s="71"/>
    </row>
    <row r="85" spans="3:9" x14ac:dyDescent="0.25">
      <c r="D85" s="71"/>
      <c r="E85" s="71"/>
      <c r="F85" s="71"/>
    </row>
    <row r="86" spans="3:9" x14ac:dyDescent="0.25">
      <c r="D86" s="71"/>
      <c r="E86" s="61"/>
      <c r="F86" s="61"/>
    </row>
    <row r="87" spans="3:9" x14ac:dyDescent="0.25">
      <c r="D87" s="71"/>
    </row>
    <row r="88" spans="3:9" x14ac:dyDescent="0.25">
      <c r="D88" s="71"/>
    </row>
  </sheetData>
  <mergeCells count="4">
    <mergeCell ref="A1:I1"/>
    <mergeCell ref="A2:I2"/>
    <mergeCell ref="A3:I3"/>
    <mergeCell ref="A5:C5"/>
  </mergeCells>
  <pageMargins left="0" right="0" top="0.25" bottom="0" header="0.3" footer="0.3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B017-0617-4541-AB24-8A1BA80908FC}">
  <sheetPr>
    <tabColor theme="8" tint="0.59999389629810485"/>
  </sheetPr>
  <dimension ref="A1:AE108"/>
  <sheetViews>
    <sheetView zoomScaleNormal="100" workbookViewId="0">
      <pane xSplit="5" ySplit="6" topLeftCell="F45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5" x14ac:dyDescent="0.25"/>
  <cols>
    <col min="1" max="1" width="11.5703125" style="18" bestFit="1" customWidth="1"/>
    <col min="2" max="2" width="9" style="17" bestFit="1" customWidth="1"/>
    <col min="3" max="3" width="47.5703125" customWidth="1"/>
    <col min="4" max="4" width="40.85546875" bestFit="1" customWidth="1"/>
    <col min="5" max="29" width="17.7109375" style="32" customWidth="1"/>
    <col min="30" max="30" width="13.140625" style="32" customWidth="1"/>
    <col min="31" max="31" width="17.7109375" style="32" customWidth="1"/>
  </cols>
  <sheetData>
    <row r="1" spans="1:31" x14ac:dyDescent="0.25">
      <c r="A1" s="36" t="s">
        <v>51</v>
      </c>
    </row>
    <row r="2" spans="1:31" x14ac:dyDescent="0.25">
      <c r="A2" s="36" t="s">
        <v>52</v>
      </c>
    </row>
    <row r="3" spans="1:31" x14ac:dyDescent="0.25">
      <c r="A3" s="36" t="s">
        <v>53</v>
      </c>
    </row>
    <row r="4" spans="1:31" x14ac:dyDescent="0.25">
      <c r="A4" s="36" t="s">
        <v>411</v>
      </c>
    </row>
    <row r="5" spans="1:31" ht="25.5" customHeight="1" x14ac:dyDescent="0.25">
      <c r="P5" s="226" t="s">
        <v>9</v>
      </c>
      <c r="Q5" s="226"/>
      <c r="R5" s="226"/>
      <c r="S5" s="226"/>
    </row>
    <row r="6" spans="1:31" s="17" customFormat="1" ht="51.95" customHeight="1" x14ac:dyDescent="0.25">
      <c r="A6" s="38" t="s">
        <v>54</v>
      </c>
      <c r="B6" s="37" t="s">
        <v>29</v>
      </c>
      <c r="C6" s="37" t="s">
        <v>55</v>
      </c>
      <c r="D6" s="37" t="s">
        <v>56</v>
      </c>
      <c r="E6" s="72" t="s">
        <v>57</v>
      </c>
      <c r="F6" s="72" t="s">
        <v>58</v>
      </c>
      <c r="G6" s="72" t="s">
        <v>98</v>
      </c>
      <c r="H6" s="72" t="s">
        <v>120</v>
      </c>
      <c r="I6" s="72" t="s">
        <v>99</v>
      </c>
      <c r="J6" s="72" t="s">
        <v>157</v>
      </c>
      <c r="K6" s="72" t="s">
        <v>38</v>
      </c>
      <c r="L6" s="72" t="s">
        <v>21</v>
      </c>
      <c r="M6" s="72" t="s">
        <v>41</v>
      </c>
      <c r="N6" s="72" t="s">
        <v>39</v>
      </c>
      <c r="O6" s="72" t="s">
        <v>22</v>
      </c>
      <c r="P6" s="72" t="s">
        <v>164</v>
      </c>
      <c r="Q6" s="72" t="s">
        <v>100</v>
      </c>
      <c r="R6" s="72" t="s">
        <v>10</v>
      </c>
      <c r="S6" s="72" t="s">
        <v>11</v>
      </c>
      <c r="T6" s="72" t="s">
        <v>12</v>
      </c>
      <c r="U6" s="72" t="s">
        <v>101</v>
      </c>
      <c r="V6" s="72" t="s">
        <v>25</v>
      </c>
      <c r="W6" s="72" t="s">
        <v>49</v>
      </c>
      <c r="X6" s="72" t="s">
        <v>50</v>
      </c>
      <c r="Y6" s="72" t="s">
        <v>175</v>
      </c>
      <c r="Z6" s="72" t="s">
        <v>13</v>
      </c>
      <c r="AA6" s="72" t="s">
        <v>14</v>
      </c>
      <c r="AB6" s="72" t="s">
        <v>15</v>
      </c>
      <c r="AC6" s="72" t="s">
        <v>26</v>
      </c>
      <c r="AD6" s="72"/>
      <c r="AE6" s="73" t="s">
        <v>59</v>
      </c>
    </row>
    <row r="7" spans="1:31" x14ac:dyDescent="0.25">
      <c r="A7" s="40">
        <v>45840</v>
      </c>
      <c r="B7" s="39">
        <v>159481</v>
      </c>
      <c r="C7" s="41" t="s">
        <v>251</v>
      </c>
      <c r="D7" s="41" t="s">
        <v>231</v>
      </c>
      <c r="E7" s="74">
        <v>990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>
        <f>+E7</f>
        <v>990</v>
      </c>
      <c r="Y7" s="74"/>
      <c r="Z7" s="74"/>
      <c r="AA7" s="74"/>
      <c r="AB7" s="74"/>
      <c r="AC7" s="74"/>
      <c r="AD7" s="74"/>
      <c r="AE7" s="74">
        <f t="shared" ref="AE7:AE95" si="0">+E7-SUM(F7:AD7)</f>
        <v>0</v>
      </c>
    </row>
    <row r="8" spans="1:31" x14ac:dyDescent="0.25">
      <c r="A8" s="40">
        <v>45840</v>
      </c>
      <c r="B8" s="39">
        <v>159484</v>
      </c>
      <c r="C8" s="41" t="s">
        <v>252</v>
      </c>
      <c r="D8" s="41" t="s">
        <v>232</v>
      </c>
      <c r="E8" s="74">
        <v>3038.76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>
        <f>+E8</f>
        <v>3038.76</v>
      </c>
      <c r="AD8" s="74"/>
      <c r="AE8" s="74">
        <f t="shared" si="0"/>
        <v>0</v>
      </c>
    </row>
    <row r="9" spans="1:31" x14ac:dyDescent="0.25">
      <c r="A9" s="40">
        <v>45848</v>
      </c>
      <c r="B9" s="39">
        <v>159528</v>
      </c>
      <c r="C9" s="41" t="s">
        <v>253</v>
      </c>
      <c r="D9" s="41" t="s">
        <v>233</v>
      </c>
      <c r="E9" s="74">
        <v>20910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>
        <f>+E9</f>
        <v>20910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>
        <f t="shared" si="0"/>
        <v>0</v>
      </c>
    </row>
    <row r="10" spans="1:31" x14ac:dyDescent="0.25">
      <c r="A10" s="40">
        <v>45848</v>
      </c>
      <c r="B10" s="39">
        <v>159526</v>
      </c>
      <c r="C10" s="41" t="s">
        <v>254</v>
      </c>
      <c r="D10" s="41" t="s">
        <v>234</v>
      </c>
      <c r="E10" s="74">
        <v>2500</v>
      </c>
      <c r="F10" s="74"/>
      <c r="G10" s="74"/>
      <c r="H10" s="74"/>
      <c r="I10" s="74">
        <f>+E10</f>
        <v>2500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>
        <f t="shared" si="0"/>
        <v>0</v>
      </c>
    </row>
    <row r="11" spans="1:31" x14ac:dyDescent="0.25">
      <c r="A11" s="40">
        <v>45861</v>
      </c>
      <c r="B11" s="39">
        <v>159747</v>
      </c>
      <c r="C11" s="41" t="s">
        <v>255</v>
      </c>
      <c r="D11" s="41" t="s">
        <v>235</v>
      </c>
      <c r="E11" s="74">
        <v>552.14</v>
      </c>
      <c r="F11" s="74"/>
      <c r="G11" s="74"/>
      <c r="H11" s="74"/>
      <c r="I11" s="74"/>
      <c r="J11" s="74"/>
      <c r="K11" s="74"/>
      <c r="L11" s="74"/>
      <c r="M11" s="74">
        <f>+E11</f>
        <v>552.14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>
        <f t="shared" si="0"/>
        <v>0</v>
      </c>
    </row>
    <row r="12" spans="1:31" x14ac:dyDescent="0.25">
      <c r="A12" s="40">
        <v>45861</v>
      </c>
      <c r="B12" s="39">
        <v>159740</v>
      </c>
      <c r="C12" s="41" t="s">
        <v>256</v>
      </c>
      <c r="D12" s="41" t="s">
        <v>236</v>
      </c>
      <c r="E12" s="74">
        <v>360.93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>
        <f>+E12</f>
        <v>360.93</v>
      </c>
      <c r="V12" s="74"/>
      <c r="W12" s="74"/>
      <c r="X12" s="74"/>
      <c r="Y12" s="74"/>
      <c r="Z12" s="74"/>
      <c r="AA12" s="74"/>
      <c r="AB12" s="74"/>
      <c r="AC12" s="74"/>
      <c r="AD12" s="74"/>
      <c r="AE12" s="74">
        <f t="shared" si="0"/>
        <v>0</v>
      </c>
    </row>
    <row r="13" spans="1:31" x14ac:dyDescent="0.25">
      <c r="A13" s="40">
        <v>45869</v>
      </c>
      <c r="B13" s="39">
        <v>159813</v>
      </c>
      <c r="C13" s="41" t="s">
        <v>255</v>
      </c>
      <c r="D13" s="41" t="s">
        <v>235</v>
      </c>
      <c r="E13" s="74">
        <v>1117.5</v>
      </c>
      <c r="F13" s="74"/>
      <c r="G13" s="74"/>
      <c r="H13" s="74"/>
      <c r="I13" s="74">
        <f>+E13</f>
        <v>1117.5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>
        <f t="shared" si="0"/>
        <v>0</v>
      </c>
    </row>
    <row r="14" spans="1:31" x14ac:dyDescent="0.25">
      <c r="A14" s="40">
        <v>45869</v>
      </c>
      <c r="B14" s="39">
        <v>159801</v>
      </c>
      <c r="C14" s="41" t="s">
        <v>257</v>
      </c>
      <c r="D14" s="41" t="s">
        <v>237</v>
      </c>
      <c r="E14" s="74">
        <v>1400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>
        <f>+E14</f>
        <v>1400</v>
      </c>
      <c r="AB14" s="74"/>
      <c r="AC14" s="74"/>
      <c r="AD14" s="74"/>
      <c r="AE14" s="74">
        <f t="shared" si="0"/>
        <v>0</v>
      </c>
    </row>
    <row r="15" spans="1:31" x14ac:dyDescent="0.25">
      <c r="A15" s="40">
        <v>45869</v>
      </c>
      <c r="B15" s="39">
        <v>159806</v>
      </c>
      <c r="C15" s="41" t="s">
        <v>258</v>
      </c>
      <c r="D15" s="41" t="s">
        <v>238</v>
      </c>
      <c r="E15" s="74">
        <v>3416.66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>
        <f>+E15</f>
        <v>3416.66</v>
      </c>
      <c r="AD15" s="74"/>
      <c r="AE15" s="74">
        <f t="shared" si="0"/>
        <v>0</v>
      </c>
    </row>
    <row r="16" spans="1:31" x14ac:dyDescent="0.25">
      <c r="A16" s="40">
        <v>45869</v>
      </c>
      <c r="B16" s="39">
        <v>159801</v>
      </c>
      <c r="C16" s="41" t="s">
        <v>257</v>
      </c>
      <c r="D16" s="41" t="s">
        <v>239</v>
      </c>
      <c r="E16" s="74">
        <v>1400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>
        <f>+E16</f>
        <v>1400</v>
      </c>
      <c r="AB16" s="74"/>
      <c r="AC16" s="74"/>
      <c r="AD16" s="74"/>
      <c r="AE16" s="74">
        <f t="shared" si="0"/>
        <v>0</v>
      </c>
    </row>
    <row r="17" spans="1:31" x14ac:dyDescent="0.25">
      <c r="A17" s="40">
        <v>45875</v>
      </c>
      <c r="B17" s="39">
        <v>159842</v>
      </c>
      <c r="C17" s="41" t="s">
        <v>259</v>
      </c>
      <c r="D17" s="41" t="s">
        <v>240</v>
      </c>
      <c r="E17" s="74">
        <v>235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>
        <v>210</v>
      </c>
      <c r="S17" s="74"/>
      <c r="T17" s="74"/>
      <c r="U17" s="74">
        <v>25</v>
      </c>
      <c r="V17" s="74"/>
      <c r="W17" s="74"/>
      <c r="X17" s="74"/>
      <c r="Y17" s="74"/>
      <c r="Z17" s="74"/>
      <c r="AA17" s="74"/>
      <c r="AB17" s="74"/>
      <c r="AC17" s="74"/>
      <c r="AD17" s="74"/>
      <c r="AE17" s="74">
        <f t="shared" si="0"/>
        <v>0</v>
      </c>
    </row>
    <row r="18" spans="1:31" x14ac:dyDescent="0.25">
      <c r="A18" s="40">
        <v>45875</v>
      </c>
      <c r="B18" s="39">
        <v>159852</v>
      </c>
      <c r="C18" s="41" t="s">
        <v>260</v>
      </c>
      <c r="D18" s="41" t="s">
        <v>241</v>
      </c>
      <c r="E18" s="74">
        <v>21780.75</v>
      </c>
      <c r="F18" s="74">
        <f>+E18</f>
        <v>21780.75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>
        <f t="shared" si="0"/>
        <v>0</v>
      </c>
    </row>
    <row r="19" spans="1:31" x14ac:dyDescent="0.25">
      <c r="A19" s="40">
        <v>45883</v>
      </c>
      <c r="B19" s="39">
        <v>160024</v>
      </c>
      <c r="C19" s="41" t="s">
        <v>255</v>
      </c>
      <c r="D19" s="41" t="s">
        <v>235</v>
      </c>
      <c r="E19" s="74">
        <v>176.33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>
        <f>+E19</f>
        <v>176.33</v>
      </c>
      <c r="V19" s="74"/>
      <c r="W19" s="74"/>
      <c r="X19" s="74"/>
      <c r="Y19" s="74"/>
      <c r="Z19" s="74"/>
      <c r="AA19" s="74"/>
      <c r="AB19" s="74"/>
      <c r="AC19" s="74"/>
      <c r="AD19" s="74"/>
      <c r="AE19" s="74">
        <f t="shared" si="0"/>
        <v>0</v>
      </c>
    </row>
    <row r="20" spans="1:31" x14ac:dyDescent="0.25">
      <c r="A20" s="40">
        <v>45883</v>
      </c>
      <c r="B20" s="39">
        <v>160014</v>
      </c>
      <c r="C20" s="41" t="s">
        <v>261</v>
      </c>
      <c r="D20" s="41" t="s">
        <v>242</v>
      </c>
      <c r="E20" s="74">
        <v>350</v>
      </c>
      <c r="F20" s="74"/>
      <c r="G20" s="74"/>
      <c r="H20" s="74"/>
      <c r="I20" s="74"/>
      <c r="J20" s="74"/>
      <c r="K20" s="74">
        <f>+E20</f>
        <v>350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>
        <f t="shared" si="0"/>
        <v>0</v>
      </c>
    </row>
    <row r="21" spans="1:31" x14ac:dyDescent="0.25">
      <c r="A21" s="40">
        <v>45883</v>
      </c>
      <c r="B21" s="39">
        <v>160018</v>
      </c>
      <c r="C21" s="41" t="s">
        <v>252</v>
      </c>
      <c r="D21" s="41" t="s">
        <v>243</v>
      </c>
      <c r="E21" s="74">
        <v>3038.76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>
        <f>+E21</f>
        <v>3038.76</v>
      </c>
      <c r="AD21" s="74"/>
      <c r="AE21" s="74">
        <f t="shared" si="0"/>
        <v>0</v>
      </c>
    </row>
    <row r="22" spans="1:31" x14ac:dyDescent="0.25">
      <c r="A22" s="40">
        <v>45891</v>
      </c>
      <c r="B22" s="39">
        <v>160082</v>
      </c>
      <c r="C22" s="41" t="s">
        <v>261</v>
      </c>
      <c r="D22" s="41" t="s">
        <v>244</v>
      </c>
      <c r="E22" s="74">
        <v>350</v>
      </c>
      <c r="F22" s="74"/>
      <c r="G22" s="74"/>
      <c r="H22" s="74"/>
      <c r="I22" s="74"/>
      <c r="J22" s="74"/>
      <c r="K22" s="74">
        <f>+E22</f>
        <v>350</v>
      </c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>
        <f t="shared" si="0"/>
        <v>0</v>
      </c>
    </row>
    <row r="23" spans="1:31" x14ac:dyDescent="0.25">
      <c r="A23" s="40">
        <v>45891</v>
      </c>
      <c r="B23" s="39">
        <v>160086</v>
      </c>
      <c r="C23" s="41" t="s">
        <v>252</v>
      </c>
      <c r="D23" s="41" t="s">
        <v>245</v>
      </c>
      <c r="E23" s="74">
        <v>3038.76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>
        <f>+E23</f>
        <v>3038.76</v>
      </c>
      <c r="AD23" s="74"/>
      <c r="AE23" s="74">
        <f t="shared" si="0"/>
        <v>0</v>
      </c>
    </row>
    <row r="24" spans="1:31" x14ac:dyDescent="0.25">
      <c r="A24" s="40">
        <v>45898</v>
      </c>
      <c r="B24" s="39">
        <v>160137</v>
      </c>
      <c r="C24" s="41" t="s">
        <v>262</v>
      </c>
      <c r="D24" s="41" t="s">
        <v>246</v>
      </c>
      <c r="E24" s="74">
        <v>400</v>
      </c>
      <c r="F24" s="74"/>
      <c r="G24" s="74"/>
      <c r="H24" s="74"/>
      <c r="I24" s="74">
        <f>+E24</f>
        <v>400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>
        <f t="shared" si="0"/>
        <v>0</v>
      </c>
    </row>
    <row r="25" spans="1:31" x14ac:dyDescent="0.25">
      <c r="A25" s="40">
        <v>45898</v>
      </c>
      <c r="B25" s="39">
        <v>160134</v>
      </c>
      <c r="C25" s="41" t="s">
        <v>256</v>
      </c>
      <c r="D25" s="41" t="s">
        <v>247</v>
      </c>
      <c r="E25" s="74">
        <v>219.9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>
        <f>+E25</f>
        <v>219.9</v>
      </c>
      <c r="V25" s="74"/>
      <c r="W25" s="74"/>
      <c r="X25" s="74"/>
      <c r="Y25" s="74"/>
      <c r="Z25" s="74"/>
      <c r="AA25" s="74"/>
      <c r="AB25" s="74"/>
      <c r="AC25" s="74"/>
      <c r="AD25" s="74"/>
      <c r="AE25" s="74">
        <f t="shared" si="0"/>
        <v>0</v>
      </c>
    </row>
    <row r="26" spans="1:31" x14ac:dyDescent="0.25">
      <c r="A26" s="40">
        <v>45898</v>
      </c>
      <c r="B26" s="39">
        <v>160138</v>
      </c>
      <c r="C26" s="41" t="s">
        <v>258</v>
      </c>
      <c r="D26" s="41" t="s">
        <v>248</v>
      </c>
      <c r="E26" s="74">
        <v>3416.66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>
        <f>+E26</f>
        <v>3416.66</v>
      </c>
      <c r="AD26" s="74"/>
      <c r="AE26" s="74">
        <f t="shared" si="0"/>
        <v>0</v>
      </c>
    </row>
    <row r="27" spans="1:31" x14ac:dyDescent="0.25">
      <c r="A27" s="40">
        <v>45898</v>
      </c>
      <c r="B27" s="39">
        <v>160129</v>
      </c>
      <c r="C27" s="41" t="s">
        <v>263</v>
      </c>
      <c r="D27" s="41" t="s">
        <v>249</v>
      </c>
      <c r="E27" s="74">
        <v>240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>
        <f>+E27</f>
        <v>240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>
        <f t="shared" si="0"/>
        <v>0</v>
      </c>
    </row>
    <row r="28" spans="1:31" x14ac:dyDescent="0.25">
      <c r="A28" s="40">
        <v>45898</v>
      </c>
      <c r="B28" s="39">
        <v>160127</v>
      </c>
      <c r="C28" s="41" t="s">
        <v>257</v>
      </c>
      <c r="D28" s="41" t="s">
        <v>250</v>
      </c>
      <c r="E28" s="74">
        <v>1400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>
        <f>+E28</f>
        <v>1400</v>
      </c>
      <c r="AB28" s="74"/>
      <c r="AC28" s="74"/>
      <c r="AD28" s="74"/>
      <c r="AE28" s="74">
        <f t="shared" si="0"/>
        <v>0</v>
      </c>
    </row>
    <row r="29" spans="1:31" x14ac:dyDescent="0.25">
      <c r="A29" s="40">
        <v>45903</v>
      </c>
      <c r="B29" s="39">
        <v>160175</v>
      </c>
      <c r="C29" s="41" t="s">
        <v>277</v>
      </c>
      <c r="D29" s="41" t="s">
        <v>268</v>
      </c>
      <c r="E29" s="74">
        <v>307.79000000000002</v>
      </c>
      <c r="F29" s="74"/>
      <c r="G29" s="74"/>
      <c r="H29" s="74"/>
      <c r="I29" s="74"/>
      <c r="J29" s="74"/>
      <c r="K29" s="74"/>
      <c r="L29" s="74">
        <f>+E29</f>
        <v>307.79000000000002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>
        <f t="shared" si="0"/>
        <v>0</v>
      </c>
    </row>
    <row r="30" spans="1:31" x14ac:dyDescent="0.25">
      <c r="A30" s="40">
        <v>45903</v>
      </c>
      <c r="B30" s="39">
        <v>160168</v>
      </c>
      <c r="C30" s="41" t="s">
        <v>256</v>
      </c>
      <c r="D30" s="41" t="s">
        <v>269</v>
      </c>
      <c r="E30" s="74">
        <v>183.81</v>
      </c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>
        <f>+E30</f>
        <v>183.81</v>
      </c>
      <c r="V30" s="74"/>
      <c r="W30" s="74"/>
      <c r="X30" s="74"/>
      <c r="Y30" s="74"/>
      <c r="Z30" s="74"/>
      <c r="AA30" s="74"/>
      <c r="AB30" s="74"/>
      <c r="AC30" s="74"/>
      <c r="AD30" s="74"/>
      <c r="AE30" s="74">
        <f t="shared" si="0"/>
        <v>0</v>
      </c>
    </row>
    <row r="31" spans="1:31" x14ac:dyDescent="0.25">
      <c r="A31" s="40">
        <v>45903</v>
      </c>
      <c r="B31" s="39">
        <v>160166</v>
      </c>
      <c r="C31" s="41" t="s">
        <v>263</v>
      </c>
      <c r="D31" s="41" t="s">
        <v>270</v>
      </c>
      <c r="E31" s="74">
        <v>140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>
        <f>+E31</f>
        <v>140</v>
      </c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>
        <f t="shared" si="0"/>
        <v>0</v>
      </c>
    </row>
    <row r="32" spans="1:31" x14ac:dyDescent="0.25">
      <c r="A32" s="40">
        <v>45903</v>
      </c>
      <c r="B32" s="39">
        <v>160169</v>
      </c>
      <c r="C32" s="41" t="s">
        <v>259</v>
      </c>
      <c r="D32" s="41" t="s">
        <v>271</v>
      </c>
      <c r="E32" s="74">
        <v>347.5</v>
      </c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>
        <v>322.5</v>
      </c>
      <c r="S32" s="74"/>
      <c r="T32" s="74"/>
      <c r="U32" s="74">
        <v>25</v>
      </c>
      <c r="V32" s="74"/>
      <c r="W32" s="74"/>
      <c r="X32" s="74"/>
      <c r="Y32" s="74"/>
      <c r="Z32" s="74"/>
      <c r="AA32" s="74"/>
      <c r="AB32" s="74"/>
      <c r="AC32" s="74"/>
      <c r="AD32" s="74"/>
      <c r="AE32" s="74">
        <f t="shared" si="0"/>
        <v>0</v>
      </c>
    </row>
    <row r="33" spans="1:31" x14ac:dyDescent="0.25">
      <c r="A33" s="40">
        <v>45911</v>
      </c>
      <c r="B33" s="39">
        <v>160359</v>
      </c>
      <c r="C33" s="41" t="s">
        <v>260</v>
      </c>
      <c r="D33" s="41" t="s">
        <v>272</v>
      </c>
      <c r="E33" s="74">
        <v>3484.89</v>
      </c>
      <c r="F33" s="74">
        <f>+E33</f>
        <v>3484.89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>
        <f t="shared" si="0"/>
        <v>0</v>
      </c>
    </row>
    <row r="34" spans="1:31" x14ac:dyDescent="0.25">
      <c r="A34" s="40">
        <v>45916</v>
      </c>
      <c r="B34" s="39">
        <v>159455</v>
      </c>
      <c r="C34" s="41" t="s">
        <v>278</v>
      </c>
      <c r="D34" s="41" t="s">
        <v>273</v>
      </c>
      <c r="E34" s="74">
        <v>-415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>
        <f>+E34</f>
        <v>-415</v>
      </c>
      <c r="Y34" s="74"/>
      <c r="Z34" s="74"/>
      <c r="AA34" s="74"/>
      <c r="AB34" s="74"/>
      <c r="AC34" s="74"/>
      <c r="AD34" s="74"/>
      <c r="AE34" s="74">
        <f t="shared" si="0"/>
        <v>0</v>
      </c>
    </row>
    <row r="35" spans="1:31" x14ac:dyDescent="0.25">
      <c r="A35" s="40">
        <v>45919</v>
      </c>
      <c r="B35" s="39">
        <v>160432</v>
      </c>
      <c r="C35" s="41" t="s">
        <v>252</v>
      </c>
      <c r="D35" s="41" t="s">
        <v>274</v>
      </c>
      <c r="E35" s="74">
        <v>3038.76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>
        <f>+E35</f>
        <v>3038.76</v>
      </c>
      <c r="AD35" s="74"/>
      <c r="AE35" s="74">
        <f t="shared" si="0"/>
        <v>0</v>
      </c>
    </row>
    <row r="36" spans="1:31" x14ac:dyDescent="0.25">
      <c r="A36" s="40">
        <v>45919</v>
      </c>
      <c r="B36" s="39">
        <v>160424</v>
      </c>
      <c r="C36" s="41" t="s">
        <v>257</v>
      </c>
      <c r="D36" s="41" t="s">
        <v>274</v>
      </c>
      <c r="E36" s="74">
        <v>1400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>
        <f>+E36</f>
        <v>1400</v>
      </c>
      <c r="AB36" s="74"/>
      <c r="AC36" s="74"/>
      <c r="AD36" s="74"/>
      <c r="AE36" s="74">
        <f t="shared" si="0"/>
        <v>0</v>
      </c>
    </row>
    <row r="37" spans="1:31" x14ac:dyDescent="0.25">
      <c r="A37" s="40">
        <v>45919</v>
      </c>
      <c r="B37" s="39">
        <v>160437</v>
      </c>
      <c r="C37" s="41" t="s">
        <v>278</v>
      </c>
      <c r="D37" s="41" t="s">
        <v>275</v>
      </c>
      <c r="E37" s="74">
        <v>415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>
        <f>+E37</f>
        <v>415</v>
      </c>
      <c r="Y37" s="74"/>
      <c r="Z37" s="74"/>
      <c r="AA37" s="74"/>
      <c r="AB37" s="74"/>
      <c r="AC37" s="74"/>
      <c r="AD37" s="74"/>
      <c r="AE37" s="74">
        <f t="shared" si="0"/>
        <v>0</v>
      </c>
    </row>
    <row r="38" spans="1:31" x14ac:dyDescent="0.25">
      <c r="A38" s="40">
        <v>45925</v>
      </c>
      <c r="B38" s="39">
        <v>160495</v>
      </c>
      <c r="C38" s="41" t="s">
        <v>255</v>
      </c>
      <c r="D38" s="41" t="s">
        <v>276</v>
      </c>
      <c r="E38" s="74">
        <v>41.34</v>
      </c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>
        <f>+E38</f>
        <v>41.34</v>
      </c>
      <c r="V38" s="74"/>
      <c r="W38" s="74"/>
      <c r="X38" s="74"/>
      <c r="Y38" s="74"/>
      <c r="Z38" s="74"/>
      <c r="AA38" s="74"/>
      <c r="AB38" s="74"/>
      <c r="AC38" s="74"/>
      <c r="AD38" s="74"/>
      <c r="AE38" s="74">
        <f t="shared" si="0"/>
        <v>0</v>
      </c>
    </row>
    <row r="39" spans="1:31" x14ac:dyDescent="0.25">
      <c r="A39" s="40">
        <v>45926</v>
      </c>
      <c r="B39" s="39">
        <v>160503</v>
      </c>
      <c r="C39" s="41" t="s">
        <v>255</v>
      </c>
      <c r="D39" s="41" t="s">
        <v>235</v>
      </c>
      <c r="E39" s="74">
        <v>1901.8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>
        <f>+E39</f>
        <v>1901.8</v>
      </c>
      <c r="AC39" s="74"/>
      <c r="AD39" s="74"/>
      <c r="AE39" s="74">
        <f t="shared" si="0"/>
        <v>0</v>
      </c>
    </row>
    <row r="40" spans="1:31" x14ac:dyDescent="0.25">
      <c r="A40" s="40">
        <v>45932</v>
      </c>
      <c r="B40" s="39">
        <v>160562</v>
      </c>
      <c r="C40" s="41" t="s">
        <v>255</v>
      </c>
      <c r="D40" s="41" t="s">
        <v>311</v>
      </c>
      <c r="E40" s="74">
        <v>613.20000000000005</v>
      </c>
      <c r="F40" s="74"/>
      <c r="G40" s="74"/>
      <c r="H40" s="74"/>
      <c r="I40" s="74">
        <f>+E40</f>
        <v>613.20000000000005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>
        <f t="shared" si="0"/>
        <v>0</v>
      </c>
    </row>
    <row r="41" spans="1:31" x14ac:dyDescent="0.25">
      <c r="A41" s="40">
        <v>45932</v>
      </c>
      <c r="B41" s="39">
        <v>160546</v>
      </c>
      <c r="C41" s="41" t="s">
        <v>263</v>
      </c>
      <c r="D41" s="41" t="s">
        <v>312</v>
      </c>
      <c r="E41" s="74">
        <v>180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>
        <f>+E41</f>
        <v>180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>
        <f t="shared" si="0"/>
        <v>0</v>
      </c>
    </row>
    <row r="42" spans="1:31" x14ac:dyDescent="0.25">
      <c r="A42" s="40">
        <v>45932</v>
      </c>
      <c r="B42" s="39">
        <v>160559</v>
      </c>
      <c r="C42" s="41" t="s">
        <v>254</v>
      </c>
      <c r="D42" s="41" t="s">
        <v>234</v>
      </c>
      <c r="E42" s="74">
        <v>2500</v>
      </c>
      <c r="F42" s="74"/>
      <c r="G42" s="74"/>
      <c r="H42" s="74"/>
      <c r="I42" s="74">
        <f>+E42</f>
        <v>2500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>
        <f t="shared" si="0"/>
        <v>0</v>
      </c>
    </row>
    <row r="43" spans="1:31" x14ac:dyDescent="0.25">
      <c r="A43" s="40">
        <v>45932</v>
      </c>
      <c r="B43" s="39">
        <v>160551</v>
      </c>
      <c r="C43" s="41" t="s">
        <v>259</v>
      </c>
      <c r="D43" s="41" t="s">
        <v>313</v>
      </c>
      <c r="E43" s="74">
        <v>250</v>
      </c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>
        <v>225</v>
      </c>
      <c r="S43" s="74"/>
      <c r="T43" s="74"/>
      <c r="U43" s="74">
        <v>25</v>
      </c>
      <c r="V43" s="74"/>
      <c r="W43" s="74"/>
      <c r="X43" s="74"/>
      <c r="Y43" s="74"/>
      <c r="Z43" s="74"/>
      <c r="AA43" s="74"/>
      <c r="AB43" s="74"/>
      <c r="AC43" s="74"/>
      <c r="AD43" s="74"/>
      <c r="AE43" s="74">
        <f t="shared" si="0"/>
        <v>0</v>
      </c>
    </row>
    <row r="44" spans="1:31" x14ac:dyDescent="0.25">
      <c r="A44" s="40">
        <v>45932</v>
      </c>
      <c r="B44" s="39">
        <v>160561</v>
      </c>
      <c r="C44" s="41" t="s">
        <v>260</v>
      </c>
      <c r="D44" s="41" t="s">
        <v>314</v>
      </c>
      <c r="E44" s="74">
        <v>21780.75</v>
      </c>
      <c r="F44" s="74">
        <f>+E44</f>
        <v>21780.75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>
        <f t="shared" si="0"/>
        <v>0</v>
      </c>
    </row>
    <row r="45" spans="1:31" x14ac:dyDescent="0.25">
      <c r="A45" s="40">
        <v>45932</v>
      </c>
      <c r="B45" s="39">
        <v>160553</v>
      </c>
      <c r="C45" s="41" t="s">
        <v>258</v>
      </c>
      <c r="D45" s="41" t="s">
        <v>315</v>
      </c>
      <c r="E45" s="74">
        <v>3416.66</v>
      </c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>
        <f>+E45</f>
        <v>3416.66</v>
      </c>
      <c r="AD45" s="74"/>
      <c r="AE45" s="74">
        <f t="shared" si="0"/>
        <v>0</v>
      </c>
    </row>
    <row r="46" spans="1:31" x14ac:dyDescent="0.25">
      <c r="A46" s="40">
        <v>45938</v>
      </c>
      <c r="B46" s="39">
        <v>160593</v>
      </c>
      <c r="C46" s="41" t="s">
        <v>256</v>
      </c>
      <c r="D46" s="41" t="s">
        <v>316</v>
      </c>
      <c r="E46" s="74">
        <v>190.13</v>
      </c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>
        <f>+E46</f>
        <v>190.13</v>
      </c>
      <c r="V46" s="74"/>
      <c r="W46" s="74"/>
      <c r="X46" s="74"/>
      <c r="Y46" s="74"/>
      <c r="Z46" s="74"/>
      <c r="AA46" s="74"/>
      <c r="AB46" s="74"/>
      <c r="AC46" s="74"/>
      <c r="AD46" s="74"/>
      <c r="AE46" s="74">
        <f t="shared" si="0"/>
        <v>0</v>
      </c>
    </row>
    <row r="47" spans="1:31" x14ac:dyDescent="0.25">
      <c r="A47" s="40">
        <v>45938</v>
      </c>
      <c r="B47" s="39">
        <v>160609</v>
      </c>
      <c r="C47" s="41" t="s">
        <v>326</v>
      </c>
      <c r="D47" s="41" t="s">
        <v>317</v>
      </c>
      <c r="E47" s="74">
        <v>500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>
        <f>+E47</f>
        <v>500</v>
      </c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>
        <f t="shared" si="0"/>
        <v>0</v>
      </c>
    </row>
    <row r="48" spans="1:31" x14ac:dyDescent="0.25">
      <c r="A48" s="40">
        <v>45945</v>
      </c>
      <c r="B48" s="39">
        <v>160706</v>
      </c>
      <c r="C48" s="41" t="s">
        <v>255</v>
      </c>
      <c r="D48" s="41" t="s">
        <v>235</v>
      </c>
      <c r="E48" s="74">
        <v>218.85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>
        <f>+E48</f>
        <v>218.85</v>
      </c>
      <c r="V48" s="74"/>
      <c r="W48" s="74"/>
      <c r="X48" s="74"/>
      <c r="Y48" s="74"/>
      <c r="Z48" s="74"/>
      <c r="AA48" s="74"/>
      <c r="AB48" s="74"/>
      <c r="AC48" s="74"/>
      <c r="AD48" s="74"/>
      <c r="AE48" s="74">
        <f t="shared" si="0"/>
        <v>0</v>
      </c>
    </row>
    <row r="49" spans="1:31" x14ac:dyDescent="0.25">
      <c r="A49" s="40">
        <v>45945</v>
      </c>
      <c r="B49" s="39">
        <v>160706</v>
      </c>
      <c r="C49" s="41" t="s">
        <v>255</v>
      </c>
      <c r="D49" s="41" t="s">
        <v>235</v>
      </c>
      <c r="E49" s="74">
        <v>1144.73</v>
      </c>
      <c r="F49" s="74"/>
      <c r="G49" s="74"/>
      <c r="H49" s="74"/>
      <c r="I49" s="74">
        <f>+E49</f>
        <v>1144.73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>
        <f t="shared" si="0"/>
        <v>0</v>
      </c>
    </row>
    <row r="50" spans="1:31" x14ac:dyDescent="0.25">
      <c r="A50" s="40">
        <v>45945</v>
      </c>
      <c r="B50" s="39">
        <v>160693</v>
      </c>
      <c r="C50" s="41" t="s">
        <v>261</v>
      </c>
      <c r="D50" s="41" t="s">
        <v>318</v>
      </c>
      <c r="E50" s="74">
        <v>350</v>
      </c>
      <c r="F50" s="74"/>
      <c r="G50" s="74"/>
      <c r="H50" s="74"/>
      <c r="I50" s="74"/>
      <c r="J50" s="74"/>
      <c r="K50" s="74">
        <f>+E50</f>
        <v>350</v>
      </c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>
        <f t="shared" si="0"/>
        <v>0</v>
      </c>
    </row>
    <row r="51" spans="1:31" x14ac:dyDescent="0.25">
      <c r="A51" s="40">
        <v>45945</v>
      </c>
      <c r="B51" s="39">
        <v>160702</v>
      </c>
      <c r="C51" s="41" t="s">
        <v>327</v>
      </c>
      <c r="D51" s="41" t="s">
        <v>319</v>
      </c>
      <c r="E51" s="74">
        <v>1200</v>
      </c>
      <c r="F51" s="74"/>
      <c r="G51" s="74"/>
      <c r="H51" s="74"/>
      <c r="I51" s="74">
        <f>+E51</f>
        <v>1200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>
        <f t="shared" si="0"/>
        <v>0</v>
      </c>
    </row>
    <row r="52" spans="1:31" x14ac:dyDescent="0.25">
      <c r="A52" s="40">
        <v>45945</v>
      </c>
      <c r="B52" s="39">
        <v>160698</v>
      </c>
      <c r="C52" s="41" t="s">
        <v>252</v>
      </c>
      <c r="D52" s="41" t="s">
        <v>320</v>
      </c>
      <c r="E52" s="74">
        <v>3038.76</v>
      </c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>
        <f>+E52</f>
        <v>3038.76</v>
      </c>
      <c r="AD52" s="74"/>
      <c r="AE52" s="74">
        <f t="shared" si="0"/>
        <v>0</v>
      </c>
    </row>
    <row r="53" spans="1:31" x14ac:dyDescent="0.25">
      <c r="A53" s="40">
        <v>45945</v>
      </c>
      <c r="B53" s="39">
        <v>160687</v>
      </c>
      <c r="C53" s="41" t="s">
        <v>257</v>
      </c>
      <c r="D53" s="41" t="s">
        <v>321</v>
      </c>
      <c r="E53" s="74">
        <v>1400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>
        <f>+E53</f>
        <v>1400</v>
      </c>
      <c r="AB53" s="74"/>
      <c r="AC53" s="74"/>
      <c r="AD53" s="74"/>
      <c r="AE53" s="74">
        <f t="shared" si="0"/>
        <v>0</v>
      </c>
    </row>
    <row r="54" spans="1:31" x14ac:dyDescent="0.25">
      <c r="A54" s="145">
        <v>45952</v>
      </c>
      <c r="B54" s="146">
        <v>160833</v>
      </c>
      <c r="C54" s="147" t="s">
        <v>328</v>
      </c>
      <c r="D54" s="147" t="s">
        <v>322</v>
      </c>
      <c r="E54" s="144">
        <v>1200</v>
      </c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44">
        <f>+E54</f>
        <v>1200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>
        <f t="shared" si="0"/>
        <v>0</v>
      </c>
    </row>
    <row r="55" spans="1:31" x14ac:dyDescent="0.25">
      <c r="A55" s="40">
        <v>45952</v>
      </c>
      <c r="B55" s="39">
        <v>160826</v>
      </c>
      <c r="C55" s="41" t="s">
        <v>329</v>
      </c>
      <c r="D55" s="41" t="s">
        <v>323</v>
      </c>
      <c r="E55" s="74">
        <v>2195</v>
      </c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>
        <f>+E55</f>
        <v>2195</v>
      </c>
      <c r="AA55" s="74"/>
      <c r="AB55" s="74"/>
      <c r="AC55" s="74"/>
      <c r="AD55" s="74"/>
      <c r="AE55" s="74">
        <f t="shared" si="0"/>
        <v>0</v>
      </c>
    </row>
    <row r="56" spans="1:31" x14ac:dyDescent="0.25">
      <c r="A56" s="40">
        <v>45952</v>
      </c>
      <c r="B56" s="39">
        <v>160836</v>
      </c>
      <c r="C56" s="41" t="s">
        <v>255</v>
      </c>
      <c r="D56" s="41" t="s">
        <v>235</v>
      </c>
      <c r="E56" s="74">
        <v>240.22</v>
      </c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>
        <f>+E56</f>
        <v>240.22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>
        <f t="shared" si="0"/>
        <v>0</v>
      </c>
    </row>
    <row r="57" spans="1:31" x14ac:dyDescent="0.25">
      <c r="A57" s="40">
        <v>45952</v>
      </c>
      <c r="B57" s="39">
        <v>160834</v>
      </c>
      <c r="C57" s="41" t="s">
        <v>330</v>
      </c>
      <c r="D57" s="41" t="s">
        <v>324</v>
      </c>
      <c r="E57" s="74">
        <v>25000</v>
      </c>
      <c r="F57" s="74"/>
      <c r="G57" s="74"/>
      <c r="H57" s="74">
        <v>5000</v>
      </c>
      <c r="I57" s="74">
        <v>5000</v>
      </c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>
        <v>15000</v>
      </c>
      <c r="AD57" s="74"/>
      <c r="AE57" s="74">
        <f t="shared" si="0"/>
        <v>0</v>
      </c>
    </row>
    <row r="58" spans="1:31" x14ac:dyDescent="0.25">
      <c r="A58" s="145">
        <v>45952</v>
      </c>
      <c r="B58" s="146">
        <v>160835</v>
      </c>
      <c r="C58" s="147" t="s">
        <v>331</v>
      </c>
      <c r="D58" s="147" t="s">
        <v>325</v>
      </c>
      <c r="E58" s="144">
        <v>630</v>
      </c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144">
        <f>+E58</f>
        <v>630</v>
      </c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>
        <f t="shared" si="0"/>
        <v>0</v>
      </c>
    </row>
    <row r="59" spans="1:31" x14ac:dyDescent="0.25">
      <c r="A59" s="40">
        <v>45966</v>
      </c>
      <c r="B59" s="39">
        <v>160928</v>
      </c>
      <c r="C59" s="41" t="s">
        <v>349</v>
      </c>
      <c r="D59" s="41" t="s">
        <v>352</v>
      </c>
      <c r="E59" s="74">
        <v>10362.709999999999</v>
      </c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>
        <f>+E59</f>
        <v>10362.709999999999</v>
      </c>
      <c r="X59" s="74"/>
      <c r="Y59" s="74"/>
      <c r="Z59" s="74"/>
      <c r="AA59" s="74"/>
      <c r="AB59" s="74"/>
      <c r="AC59" s="74"/>
      <c r="AD59" s="74"/>
      <c r="AE59" s="74">
        <f t="shared" si="0"/>
        <v>0</v>
      </c>
    </row>
    <row r="60" spans="1:31" x14ac:dyDescent="0.25">
      <c r="A60" s="40">
        <v>45966</v>
      </c>
      <c r="B60" s="39">
        <v>160918</v>
      </c>
      <c r="C60" s="41" t="s">
        <v>259</v>
      </c>
      <c r="D60" s="41" t="s">
        <v>353</v>
      </c>
      <c r="E60" s="74">
        <v>280</v>
      </c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>
        <f>280-25</f>
        <v>255</v>
      </c>
      <c r="S60" s="74"/>
      <c r="T60" s="74"/>
      <c r="U60" s="74">
        <v>25</v>
      </c>
      <c r="V60" s="74"/>
      <c r="W60" s="74"/>
      <c r="X60" s="74"/>
      <c r="Y60" s="74"/>
      <c r="Z60" s="74"/>
      <c r="AA60" s="74"/>
      <c r="AB60" s="74"/>
      <c r="AC60" s="74"/>
      <c r="AD60" s="74"/>
      <c r="AE60" s="74">
        <f t="shared" si="0"/>
        <v>0</v>
      </c>
    </row>
    <row r="61" spans="1:31" x14ac:dyDescent="0.25">
      <c r="A61" s="40">
        <v>45974</v>
      </c>
      <c r="B61" s="39">
        <v>161074</v>
      </c>
      <c r="C61" s="41" t="s">
        <v>260</v>
      </c>
      <c r="D61" s="41" t="s">
        <v>272</v>
      </c>
      <c r="E61" s="74">
        <v>1522.89</v>
      </c>
      <c r="F61" s="74">
        <f>+E61</f>
        <v>1522.89</v>
      </c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>
        <f t="shared" si="0"/>
        <v>0</v>
      </c>
    </row>
    <row r="62" spans="1:31" x14ac:dyDescent="0.25">
      <c r="A62" s="40">
        <v>45974</v>
      </c>
      <c r="B62" s="39">
        <v>161066</v>
      </c>
      <c r="C62" s="41" t="s">
        <v>261</v>
      </c>
      <c r="D62" s="41" t="s">
        <v>318</v>
      </c>
      <c r="E62" s="74">
        <v>350</v>
      </c>
      <c r="F62" s="74"/>
      <c r="G62" s="74"/>
      <c r="H62" s="74"/>
      <c r="I62" s="74"/>
      <c r="J62" s="74"/>
      <c r="K62" s="74">
        <f>+E62</f>
        <v>350</v>
      </c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>
        <f t="shared" si="0"/>
        <v>0</v>
      </c>
    </row>
    <row r="63" spans="1:31" x14ac:dyDescent="0.25">
      <c r="A63" s="40">
        <v>45974</v>
      </c>
      <c r="B63" s="39">
        <v>161072</v>
      </c>
      <c r="C63" s="41" t="s">
        <v>252</v>
      </c>
      <c r="D63" s="41" t="s">
        <v>354</v>
      </c>
      <c r="E63" s="74">
        <v>3038.76</v>
      </c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>
        <f>+E63</f>
        <v>3038.76</v>
      </c>
      <c r="AD63" s="74"/>
      <c r="AE63" s="74">
        <f t="shared" si="0"/>
        <v>0</v>
      </c>
    </row>
    <row r="64" spans="1:31" x14ac:dyDescent="0.25">
      <c r="A64" s="40">
        <v>45974</v>
      </c>
      <c r="B64" s="39">
        <v>161060</v>
      </c>
      <c r="C64" s="41" t="s">
        <v>257</v>
      </c>
      <c r="D64" s="41" t="s">
        <v>355</v>
      </c>
      <c r="E64" s="74">
        <v>1400</v>
      </c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>
        <f>+E64</f>
        <v>1400</v>
      </c>
      <c r="AB64" s="74"/>
      <c r="AC64" s="74"/>
      <c r="AD64" s="74"/>
      <c r="AE64" s="74">
        <f t="shared" si="0"/>
        <v>0</v>
      </c>
    </row>
    <row r="65" spans="1:31" x14ac:dyDescent="0.25">
      <c r="A65" s="40">
        <v>45974</v>
      </c>
      <c r="B65" s="39">
        <v>161073</v>
      </c>
      <c r="C65" s="41" t="s">
        <v>350</v>
      </c>
      <c r="D65" s="41" t="s">
        <v>356</v>
      </c>
      <c r="E65" s="74">
        <v>8000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>
        <f>+E65</f>
        <v>8000</v>
      </c>
      <c r="AD65" s="74"/>
      <c r="AE65" s="74">
        <f t="shared" si="0"/>
        <v>0</v>
      </c>
    </row>
    <row r="66" spans="1:31" x14ac:dyDescent="0.25">
      <c r="A66" s="40">
        <v>45980</v>
      </c>
      <c r="B66" s="39">
        <v>161173</v>
      </c>
      <c r="C66" s="41" t="s">
        <v>255</v>
      </c>
      <c r="D66" s="41" t="s">
        <v>235</v>
      </c>
      <c r="E66" s="74">
        <v>1115.31</v>
      </c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>
        <f>+E66</f>
        <v>1115.31</v>
      </c>
      <c r="AC66" s="74"/>
      <c r="AD66" s="74"/>
      <c r="AE66" s="74">
        <f t="shared" si="0"/>
        <v>0</v>
      </c>
    </row>
    <row r="67" spans="1:31" x14ac:dyDescent="0.25">
      <c r="A67" s="40">
        <v>45980</v>
      </c>
      <c r="B67" s="39">
        <v>161170</v>
      </c>
      <c r="C67" s="41" t="s">
        <v>263</v>
      </c>
      <c r="D67" s="41" t="s">
        <v>357</v>
      </c>
      <c r="E67" s="74">
        <v>160</v>
      </c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>
        <f>+E67</f>
        <v>160</v>
      </c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>
        <f t="shared" si="0"/>
        <v>0</v>
      </c>
    </row>
    <row r="68" spans="1:31" x14ac:dyDescent="0.25">
      <c r="A68" s="40">
        <v>45980</v>
      </c>
      <c r="B68" s="39">
        <v>161172</v>
      </c>
      <c r="C68" s="41" t="s">
        <v>262</v>
      </c>
      <c r="D68" s="41" t="s">
        <v>358</v>
      </c>
      <c r="E68" s="74">
        <v>475</v>
      </c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>
        <f>+E68</f>
        <v>475</v>
      </c>
      <c r="AC68" s="74"/>
      <c r="AD68" s="74"/>
      <c r="AE68" s="74">
        <f t="shared" si="0"/>
        <v>0</v>
      </c>
    </row>
    <row r="69" spans="1:31" x14ac:dyDescent="0.25">
      <c r="A69" s="40">
        <v>45980</v>
      </c>
      <c r="B69" s="39">
        <v>161171</v>
      </c>
      <c r="C69" s="41" t="s">
        <v>351</v>
      </c>
      <c r="D69" s="41" t="s">
        <v>359</v>
      </c>
      <c r="E69" s="74">
        <v>600</v>
      </c>
      <c r="F69" s="74"/>
      <c r="G69" s="74"/>
      <c r="H69" s="74"/>
      <c r="I69" s="74"/>
      <c r="J69" s="74"/>
      <c r="K69" s="74"/>
      <c r="L69" s="74"/>
      <c r="M69" s="74">
        <f>+E69</f>
        <v>600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>
        <f t="shared" si="0"/>
        <v>0</v>
      </c>
    </row>
    <row r="70" spans="1:31" x14ac:dyDescent="0.25">
      <c r="A70" s="40">
        <v>45985</v>
      </c>
      <c r="B70" s="39">
        <v>161196</v>
      </c>
      <c r="C70" s="41" t="s">
        <v>255</v>
      </c>
      <c r="D70" s="41" t="s">
        <v>235</v>
      </c>
      <c r="E70" s="74">
        <v>624.82000000000005</v>
      </c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>
        <f>+E70</f>
        <v>624.82000000000005</v>
      </c>
      <c r="AC70" s="74"/>
      <c r="AD70" s="74"/>
      <c r="AE70" s="74">
        <f t="shared" si="0"/>
        <v>0</v>
      </c>
    </row>
    <row r="71" spans="1:31" x14ac:dyDescent="0.25">
      <c r="A71" s="40">
        <v>45995</v>
      </c>
      <c r="B71" s="39">
        <v>161308</v>
      </c>
      <c r="C71" s="41" t="s">
        <v>384</v>
      </c>
      <c r="D71" s="41" t="s">
        <v>391</v>
      </c>
      <c r="E71" s="74">
        <v>350</v>
      </c>
      <c r="F71" s="74"/>
      <c r="G71" s="74"/>
      <c r="H71" s="74"/>
      <c r="I71" s="74"/>
      <c r="J71" s="74"/>
      <c r="K71" s="74"/>
      <c r="L71" s="74"/>
      <c r="M71" s="74"/>
      <c r="N71" s="74"/>
      <c r="O71" s="74">
        <f>+E71</f>
        <v>350</v>
      </c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>
        <f t="shared" si="0"/>
        <v>0</v>
      </c>
    </row>
    <row r="72" spans="1:31" x14ac:dyDescent="0.25">
      <c r="A72" s="40">
        <v>45995</v>
      </c>
      <c r="B72" s="39">
        <v>161296</v>
      </c>
      <c r="C72" s="41" t="s">
        <v>263</v>
      </c>
      <c r="D72" s="41" t="s">
        <v>392</v>
      </c>
      <c r="E72" s="74">
        <v>140</v>
      </c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>
        <f>+E72</f>
        <v>140</v>
      </c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>
        <f t="shared" si="0"/>
        <v>0</v>
      </c>
    </row>
    <row r="73" spans="1:31" x14ac:dyDescent="0.25">
      <c r="A73" s="40">
        <v>45995</v>
      </c>
      <c r="B73" s="39">
        <v>161322</v>
      </c>
      <c r="C73" s="41" t="s">
        <v>255</v>
      </c>
      <c r="D73" s="41" t="s">
        <v>235</v>
      </c>
      <c r="E73" s="74">
        <v>241.64</v>
      </c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>
        <f>+E73</f>
        <v>241.64</v>
      </c>
      <c r="V73" s="74"/>
      <c r="W73" s="74"/>
      <c r="X73" s="74"/>
      <c r="Y73" s="74"/>
      <c r="Z73" s="74"/>
      <c r="AA73" s="74"/>
      <c r="AB73" s="74"/>
      <c r="AC73" s="74"/>
      <c r="AD73" s="74"/>
      <c r="AE73" s="74">
        <f t="shared" si="0"/>
        <v>0</v>
      </c>
    </row>
    <row r="74" spans="1:31" x14ac:dyDescent="0.25">
      <c r="A74" s="40">
        <v>45995</v>
      </c>
      <c r="B74" s="39">
        <v>161324</v>
      </c>
      <c r="C74" s="41" t="s">
        <v>385</v>
      </c>
      <c r="D74" s="41" t="s">
        <v>393</v>
      </c>
      <c r="E74" s="74">
        <v>2541</v>
      </c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>
        <f>+E74</f>
        <v>2541</v>
      </c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>
        <f t="shared" si="0"/>
        <v>0</v>
      </c>
    </row>
    <row r="75" spans="1:31" x14ac:dyDescent="0.25">
      <c r="A75" s="40">
        <v>45995</v>
      </c>
      <c r="B75" s="39">
        <v>161322</v>
      </c>
      <c r="C75" s="41" t="s">
        <v>255</v>
      </c>
      <c r="D75" s="41" t="s">
        <v>394</v>
      </c>
      <c r="E75" s="74">
        <v>472.68</v>
      </c>
      <c r="F75" s="74"/>
      <c r="G75" s="74"/>
      <c r="H75" s="74"/>
      <c r="I75" s="74">
        <f>+E75</f>
        <v>472.68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>
        <f t="shared" si="0"/>
        <v>0</v>
      </c>
    </row>
    <row r="76" spans="1:31" x14ac:dyDescent="0.25">
      <c r="A76" s="40">
        <v>45995</v>
      </c>
      <c r="B76" s="39">
        <v>161314</v>
      </c>
      <c r="C76" s="41" t="s">
        <v>386</v>
      </c>
      <c r="D76" s="41" t="s">
        <v>395</v>
      </c>
      <c r="E76" s="74">
        <v>4800</v>
      </c>
      <c r="F76" s="74"/>
      <c r="G76" s="74"/>
      <c r="H76" s="74"/>
      <c r="I76" s="74"/>
      <c r="J76" s="74"/>
      <c r="K76" s="74"/>
      <c r="L76" s="74"/>
      <c r="M76" s="74">
        <f>+E76</f>
        <v>4800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>
        <f t="shared" si="0"/>
        <v>0</v>
      </c>
    </row>
    <row r="77" spans="1:31" x14ac:dyDescent="0.25">
      <c r="A77" s="40">
        <v>45995</v>
      </c>
      <c r="B77" s="39">
        <v>161319</v>
      </c>
      <c r="C77" s="41" t="s">
        <v>387</v>
      </c>
      <c r="D77" s="41" t="s">
        <v>396</v>
      </c>
      <c r="E77" s="74">
        <v>5774.2</v>
      </c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>
        <f>+E77</f>
        <v>5774.2</v>
      </c>
      <c r="AD77" s="74"/>
      <c r="AE77" s="74">
        <f t="shared" si="0"/>
        <v>0</v>
      </c>
    </row>
    <row r="78" spans="1:31" x14ac:dyDescent="0.25">
      <c r="A78" s="40">
        <v>45995</v>
      </c>
      <c r="B78" s="39">
        <v>161320</v>
      </c>
      <c r="C78" s="41" t="s">
        <v>388</v>
      </c>
      <c r="D78" s="41" t="s">
        <v>397</v>
      </c>
      <c r="E78" s="74">
        <v>375</v>
      </c>
      <c r="F78" s="74"/>
      <c r="G78" s="74"/>
      <c r="H78" s="74"/>
      <c r="I78" s="74"/>
      <c r="J78" s="74"/>
      <c r="K78" s="74"/>
      <c r="L78" s="74"/>
      <c r="M78" s="74"/>
      <c r="N78" s="74">
        <f>+E78</f>
        <v>375</v>
      </c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>
        <f t="shared" si="0"/>
        <v>0</v>
      </c>
    </row>
    <row r="79" spans="1:31" x14ac:dyDescent="0.25">
      <c r="A79" s="40">
        <v>45995</v>
      </c>
      <c r="B79" s="39">
        <v>161321</v>
      </c>
      <c r="C79" s="41" t="s">
        <v>277</v>
      </c>
      <c r="D79" s="41" t="s">
        <v>398</v>
      </c>
      <c r="E79" s="74">
        <v>329.98</v>
      </c>
      <c r="F79" s="74"/>
      <c r="G79" s="74"/>
      <c r="H79" s="74"/>
      <c r="I79" s="74"/>
      <c r="J79" s="74"/>
      <c r="K79" s="74"/>
      <c r="L79" s="74">
        <f>+E79</f>
        <v>329.98</v>
      </c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>
        <f t="shared" si="0"/>
        <v>0</v>
      </c>
    </row>
    <row r="80" spans="1:31" x14ac:dyDescent="0.25">
      <c r="A80" s="40">
        <v>45995</v>
      </c>
      <c r="B80" s="39">
        <v>161317</v>
      </c>
      <c r="C80" s="41" t="s">
        <v>258</v>
      </c>
      <c r="D80" s="41" t="s">
        <v>399</v>
      </c>
      <c r="E80" s="74">
        <v>3416.66</v>
      </c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>
        <f>+E80</f>
        <v>3416.66</v>
      </c>
      <c r="AD80" s="74"/>
      <c r="AE80" s="74">
        <f t="shared" si="0"/>
        <v>0</v>
      </c>
    </row>
    <row r="81" spans="1:31" x14ac:dyDescent="0.25">
      <c r="A81" s="40">
        <v>45995</v>
      </c>
      <c r="B81" s="39">
        <v>161317</v>
      </c>
      <c r="C81" s="41" t="s">
        <v>258</v>
      </c>
      <c r="D81" s="41" t="s">
        <v>399</v>
      </c>
      <c r="E81" s="74">
        <v>3416.66</v>
      </c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>
        <f>+E81</f>
        <v>3416.66</v>
      </c>
      <c r="AD81" s="74"/>
      <c r="AE81" s="74">
        <f t="shared" si="0"/>
        <v>0</v>
      </c>
    </row>
    <row r="82" spans="1:31" x14ac:dyDescent="0.25">
      <c r="A82" s="40">
        <v>45995</v>
      </c>
      <c r="B82" s="39">
        <v>161316</v>
      </c>
      <c r="C82" s="41" t="s">
        <v>259</v>
      </c>
      <c r="D82" s="41" t="s">
        <v>400</v>
      </c>
      <c r="E82" s="74">
        <v>201.2</v>
      </c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>
        <v>165</v>
      </c>
      <c r="S82" s="74"/>
      <c r="T82" s="74"/>
      <c r="U82" s="74">
        <v>25</v>
      </c>
      <c r="V82" s="74">
        <v>11.2</v>
      </c>
      <c r="W82" s="74"/>
      <c r="X82" s="74"/>
      <c r="Y82" s="74"/>
      <c r="Z82" s="74"/>
      <c r="AA82" s="74"/>
      <c r="AB82" s="74"/>
      <c r="AC82" s="74"/>
      <c r="AD82" s="74"/>
      <c r="AE82" s="74">
        <f t="shared" si="0"/>
        <v>0</v>
      </c>
    </row>
    <row r="83" spans="1:31" x14ac:dyDescent="0.25">
      <c r="A83" s="40">
        <v>46001</v>
      </c>
      <c r="B83" s="39">
        <v>161412</v>
      </c>
      <c r="C83" s="41" t="s">
        <v>255</v>
      </c>
      <c r="D83" s="41" t="s">
        <v>401</v>
      </c>
      <c r="E83" s="74">
        <v>757.84</v>
      </c>
      <c r="F83" s="74"/>
      <c r="G83" s="74"/>
      <c r="H83" s="74"/>
      <c r="I83" s="74">
        <f>+E83</f>
        <v>757.84</v>
      </c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>
        <f t="shared" si="0"/>
        <v>0</v>
      </c>
    </row>
    <row r="84" spans="1:31" x14ac:dyDescent="0.25">
      <c r="A84" s="40">
        <v>46001</v>
      </c>
      <c r="B84" s="39">
        <v>161408</v>
      </c>
      <c r="C84" s="41" t="s">
        <v>327</v>
      </c>
      <c r="D84" s="41" t="s">
        <v>402</v>
      </c>
      <c r="E84" s="74">
        <v>25</v>
      </c>
      <c r="F84" s="74"/>
      <c r="G84" s="74"/>
      <c r="H84" s="74"/>
      <c r="I84" s="74">
        <f>+E84</f>
        <v>25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>
        <f t="shared" si="0"/>
        <v>0</v>
      </c>
    </row>
    <row r="85" spans="1:31" x14ac:dyDescent="0.25">
      <c r="A85" s="40">
        <v>46001</v>
      </c>
      <c r="B85" s="39">
        <v>161402</v>
      </c>
      <c r="C85" s="41" t="s">
        <v>256</v>
      </c>
      <c r="D85" s="41" t="s">
        <v>403</v>
      </c>
      <c r="E85" s="74">
        <v>154.66</v>
      </c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>
        <f>+E85</f>
        <v>154.66</v>
      </c>
      <c r="V85" s="74"/>
      <c r="W85" s="74"/>
      <c r="X85" s="74"/>
      <c r="Y85" s="74"/>
      <c r="Z85" s="74"/>
      <c r="AA85" s="74"/>
      <c r="AB85" s="74"/>
      <c r="AC85" s="74"/>
      <c r="AD85" s="74"/>
      <c r="AE85" s="74">
        <f t="shared" si="0"/>
        <v>0</v>
      </c>
    </row>
    <row r="86" spans="1:31" x14ac:dyDescent="0.25">
      <c r="A86" s="40">
        <v>46001</v>
      </c>
      <c r="B86" s="39">
        <v>161409</v>
      </c>
      <c r="C86" s="41" t="s">
        <v>253</v>
      </c>
      <c r="D86" s="41" t="s">
        <v>404</v>
      </c>
      <c r="E86" s="74">
        <v>1610</v>
      </c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>
        <f>+E86</f>
        <v>1610</v>
      </c>
      <c r="AD86" s="74"/>
      <c r="AE86" s="74">
        <f t="shared" si="0"/>
        <v>0</v>
      </c>
    </row>
    <row r="87" spans="1:31" x14ac:dyDescent="0.25">
      <c r="A87" s="40">
        <v>46001</v>
      </c>
      <c r="B87" s="39">
        <v>161415</v>
      </c>
      <c r="C87" s="41" t="s">
        <v>389</v>
      </c>
      <c r="D87" s="41" t="s">
        <v>405</v>
      </c>
      <c r="E87" s="74">
        <v>5500</v>
      </c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>
        <f>+E87</f>
        <v>5500</v>
      </c>
      <c r="AC87" s="74"/>
      <c r="AD87" s="74"/>
      <c r="AE87" s="74">
        <f t="shared" si="0"/>
        <v>0</v>
      </c>
    </row>
    <row r="88" spans="1:31" x14ac:dyDescent="0.25">
      <c r="A88" s="40">
        <v>46009</v>
      </c>
      <c r="B88" s="39">
        <v>161508</v>
      </c>
      <c r="C88" s="41" t="s">
        <v>255</v>
      </c>
      <c r="D88" s="41" t="s">
        <v>235</v>
      </c>
      <c r="E88" s="74">
        <v>174.99</v>
      </c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>
        <f>+E88</f>
        <v>174.99</v>
      </c>
      <c r="V88" s="74"/>
      <c r="W88" s="74"/>
      <c r="X88" s="74"/>
      <c r="Y88" s="74"/>
      <c r="Z88" s="74"/>
      <c r="AA88" s="74"/>
      <c r="AB88" s="74"/>
      <c r="AC88" s="74"/>
      <c r="AD88" s="74"/>
      <c r="AE88" s="74">
        <f t="shared" si="0"/>
        <v>0</v>
      </c>
    </row>
    <row r="89" spans="1:31" x14ac:dyDescent="0.25">
      <c r="A89" s="40">
        <v>46009</v>
      </c>
      <c r="B89" s="39">
        <v>161508</v>
      </c>
      <c r="C89" s="41" t="s">
        <v>255</v>
      </c>
      <c r="D89" s="41" t="s">
        <v>235</v>
      </c>
      <c r="E89" s="74">
        <v>3526.46</v>
      </c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>
        <f>+E89</f>
        <v>3526.46</v>
      </c>
      <c r="AC89" s="74"/>
      <c r="AD89" s="74"/>
      <c r="AE89" s="74">
        <f t="shared" si="0"/>
        <v>0</v>
      </c>
    </row>
    <row r="90" spans="1:31" x14ac:dyDescent="0.25">
      <c r="A90" s="40">
        <v>46022</v>
      </c>
      <c r="B90" s="39">
        <v>161551</v>
      </c>
      <c r="C90" s="41" t="s">
        <v>255</v>
      </c>
      <c r="D90" s="41" t="s">
        <v>235</v>
      </c>
      <c r="E90" s="74">
        <v>311.36</v>
      </c>
      <c r="F90" s="74"/>
      <c r="G90" s="74"/>
      <c r="H90" s="74"/>
      <c r="I90" s="74">
        <f>+E90</f>
        <v>311.36</v>
      </c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>
        <f t="shared" si="0"/>
        <v>0</v>
      </c>
    </row>
    <row r="91" spans="1:31" x14ac:dyDescent="0.25">
      <c r="A91" s="40">
        <v>46022</v>
      </c>
      <c r="B91" s="39">
        <v>161542</v>
      </c>
      <c r="C91" s="41" t="s">
        <v>258</v>
      </c>
      <c r="D91" s="41" t="s">
        <v>406</v>
      </c>
      <c r="E91" s="74">
        <v>3416.66</v>
      </c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>
        <f>+E91</f>
        <v>3416.66</v>
      </c>
      <c r="AD91" s="74"/>
      <c r="AE91" s="74">
        <f t="shared" si="0"/>
        <v>0</v>
      </c>
    </row>
    <row r="92" spans="1:31" x14ac:dyDescent="0.25">
      <c r="A92" s="40">
        <v>46022</v>
      </c>
      <c r="B92" s="39">
        <v>161536</v>
      </c>
      <c r="C92" s="41" t="s">
        <v>257</v>
      </c>
      <c r="D92" s="41" t="s">
        <v>274</v>
      </c>
      <c r="E92" s="74">
        <v>1400</v>
      </c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>
        <f>+E92</f>
        <v>1400</v>
      </c>
      <c r="AB92" s="74"/>
      <c r="AC92" s="74"/>
      <c r="AD92" s="74"/>
      <c r="AE92" s="74">
        <f t="shared" si="0"/>
        <v>0</v>
      </c>
    </row>
    <row r="93" spans="1:31" x14ac:dyDescent="0.25">
      <c r="A93" s="40">
        <v>46022</v>
      </c>
      <c r="B93" s="39">
        <v>161541</v>
      </c>
      <c r="C93" s="41" t="s">
        <v>259</v>
      </c>
      <c r="D93" s="41" t="s">
        <v>313</v>
      </c>
      <c r="E93" s="74">
        <v>175</v>
      </c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>
        <v>150</v>
      </c>
      <c r="S93" s="74"/>
      <c r="T93" s="74"/>
      <c r="U93" s="74">
        <v>25</v>
      </c>
      <c r="V93" s="74"/>
      <c r="W93" s="74"/>
      <c r="X93" s="74"/>
      <c r="Y93" s="74"/>
      <c r="Z93" s="74"/>
      <c r="AA93" s="74"/>
      <c r="AB93" s="74"/>
      <c r="AC93" s="74"/>
      <c r="AD93" s="74"/>
      <c r="AE93" s="74">
        <f t="shared" si="0"/>
        <v>0</v>
      </c>
    </row>
    <row r="94" spans="1:31" x14ac:dyDescent="0.25">
      <c r="A94" s="40">
        <v>46022</v>
      </c>
      <c r="B94" s="39">
        <v>161552</v>
      </c>
      <c r="C94" s="41" t="s">
        <v>390</v>
      </c>
      <c r="D94" s="41" t="s">
        <v>407</v>
      </c>
      <c r="E94" s="74">
        <v>34.64</v>
      </c>
      <c r="F94" s="74"/>
      <c r="G94" s="74"/>
      <c r="H94" s="74"/>
      <c r="I94" s="74">
        <f>+E94</f>
        <v>34.64</v>
      </c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>
        <f t="shared" si="0"/>
        <v>0</v>
      </c>
    </row>
    <row r="95" spans="1:31" x14ac:dyDescent="0.25">
      <c r="A95" s="40"/>
      <c r="B95" s="39"/>
      <c r="C95" s="41"/>
      <c r="D95" s="41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>
        <f t="shared" si="0"/>
        <v>0</v>
      </c>
    </row>
    <row r="96" spans="1:31" x14ac:dyDescent="0.25">
      <c r="D96" s="42" t="s">
        <v>60</v>
      </c>
      <c r="E96" s="75">
        <f t="shared" ref="E96:AE96" si="1">SUM(E7:E95)</f>
        <v>214301.46000000005</v>
      </c>
      <c r="F96" s="75">
        <f t="shared" si="1"/>
        <v>48569.279999999999</v>
      </c>
      <c r="G96" s="75">
        <f t="shared" si="1"/>
        <v>0</v>
      </c>
      <c r="H96" s="75">
        <f t="shared" si="1"/>
        <v>5000</v>
      </c>
      <c r="I96" s="75">
        <f t="shared" si="1"/>
        <v>16076.95</v>
      </c>
      <c r="J96" s="75">
        <f t="shared" si="1"/>
        <v>0</v>
      </c>
      <c r="K96" s="75">
        <f t="shared" si="1"/>
        <v>1400</v>
      </c>
      <c r="L96" s="75">
        <f t="shared" si="1"/>
        <v>637.77</v>
      </c>
      <c r="M96" s="75">
        <f t="shared" si="1"/>
        <v>5952.1399999999994</v>
      </c>
      <c r="N96" s="75">
        <f t="shared" si="1"/>
        <v>375</v>
      </c>
      <c r="O96" s="75">
        <f t="shared" si="1"/>
        <v>350</v>
      </c>
      <c r="P96" s="75">
        <f t="shared" si="1"/>
        <v>1830</v>
      </c>
      <c r="Q96" s="75">
        <f t="shared" si="1"/>
        <v>3401</v>
      </c>
      <c r="R96" s="75">
        <f t="shared" si="1"/>
        <v>1327.5</v>
      </c>
      <c r="S96" s="75">
        <f t="shared" si="1"/>
        <v>500</v>
      </c>
      <c r="T96" s="75">
        <f t="shared" si="1"/>
        <v>20910</v>
      </c>
      <c r="U96" s="75">
        <f t="shared" si="1"/>
        <v>2352.8000000000002</v>
      </c>
      <c r="V96" s="75">
        <f t="shared" si="1"/>
        <v>11.2</v>
      </c>
      <c r="W96" s="75">
        <f t="shared" si="1"/>
        <v>10362.709999999999</v>
      </c>
      <c r="X96" s="75">
        <f t="shared" si="1"/>
        <v>990</v>
      </c>
      <c r="Y96" s="75">
        <f t="shared" si="1"/>
        <v>0</v>
      </c>
      <c r="Z96" s="75">
        <f t="shared" si="1"/>
        <v>2195</v>
      </c>
      <c r="AA96" s="75">
        <f t="shared" si="1"/>
        <v>9800</v>
      </c>
      <c r="AB96" s="75">
        <f t="shared" si="1"/>
        <v>13143.39</v>
      </c>
      <c r="AC96" s="75">
        <f t="shared" si="1"/>
        <v>69116.72</v>
      </c>
      <c r="AD96" s="75">
        <f t="shared" si="1"/>
        <v>0</v>
      </c>
      <c r="AE96" s="75">
        <f t="shared" si="1"/>
        <v>0</v>
      </c>
    </row>
    <row r="97" spans="5:29" x14ac:dyDescent="0.25">
      <c r="E97" s="99" t="s">
        <v>110</v>
      </c>
      <c r="F97" s="32">
        <f>SUM(G96:AD96)</f>
        <v>165732.18</v>
      </c>
    </row>
    <row r="98" spans="5:29" x14ac:dyDescent="0.25">
      <c r="E98" s="99" t="s">
        <v>264</v>
      </c>
      <c r="F98" s="32">
        <f>+F96</f>
        <v>48569.279999999999</v>
      </c>
      <c r="Z98" s="76"/>
      <c r="AA98" s="77"/>
      <c r="AB98" s="78" t="s">
        <v>102</v>
      </c>
      <c r="AC98" s="133">
        <f>+AC15+AC26+AC45+AC80+AC81+AC91</f>
        <v>20499.96</v>
      </c>
    </row>
    <row r="99" spans="5:29" x14ac:dyDescent="0.25">
      <c r="E99" s="99" t="s">
        <v>59</v>
      </c>
      <c r="F99" s="32">
        <f>+E96-F97-F98</f>
        <v>5.8207660913467407E-11</v>
      </c>
      <c r="Z99" s="76"/>
      <c r="AA99" s="77"/>
      <c r="AB99" s="78" t="s">
        <v>27</v>
      </c>
      <c r="AC99" s="133">
        <f>+AC8+AC21+AC23+AC35+AC52+AC63</f>
        <v>18232.560000000001</v>
      </c>
    </row>
    <row r="100" spans="5:29" x14ac:dyDescent="0.25">
      <c r="Z100" s="76"/>
      <c r="AA100" s="77"/>
      <c r="AB100" s="78" t="s">
        <v>103</v>
      </c>
      <c r="AC100" s="133">
        <f>+AC57+AC86</f>
        <v>16610</v>
      </c>
    </row>
    <row r="101" spans="5:29" ht="15" customHeight="1" x14ac:dyDescent="0.25">
      <c r="Z101" s="76"/>
      <c r="AA101" s="77"/>
      <c r="AB101" s="78" t="s">
        <v>182</v>
      </c>
      <c r="AC101" s="133"/>
    </row>
    <row r="102" spans="5:29" x14ac:dyDescent="0.25">
      <c r="Z102" s="76"/>
      <c r="AA102" s="77"/>
      <c r="AB102" s="78" t="s">
        <v>184</v>
      </c>
      <c r="AC102" s="133"/>
    </row>
    <row r="103" spans="5:29" x14ac:dyDescent="0.25">
      <c r="Z103" s="76"/>
      <c r="AA103" s="77"/>
      <c r="AB103" s="78" t="s">
        <v>105</v>
      </c>
      <c r="AC103" s="133">
        <f>+AC65+AC78</f>
        <v>8000</v>
      </c>
    </row>
    <row r="104" spans="5:29" x14ac:dyDescent="0.25">
      <c r="Z104" s="76"/>
      <c r="AA104" s="77"/>
      <c r="AB104" s="78" t="s">
        <v>106</v>
      </c>
      <c r="AC104" s="133">
        <f>+AC77</f>
        <v>5774.2</v>
      </c>
    </row>
    <row r="105" spans="5:29" x14ac:dyDescent="0.25">
      <c r="Z105" s="76"/>
      <c r="AA105" s="77"/>
      <c r="AB105" s="78" t="s">
        <v>108</v>
      </c>
      <c r="AC105" s="133"/>
    </row>
    <row r="106" spans="5:29" x14ac:dyDescent="0.25">
      <c r="Z106" s="76"/>
      <c r="AA106" s="77"/>
      <c r="AB106" s="78"/>
      <c r="AC106" s="133"/>
    </row>
    <row r="107" spans="5:29" x14ac:dyDescent="0.25">
      <c r="AB107" s="134" t="s">
        <v>3</v>
      </c>
      <c r="AC107" s="75">
        <f>SUM(AC98:AC106)</f>
        <v>69116.72</v>
      </c>
    </row>
    <row r="108" spans="5:29" x14ac:dyDescent="0.25">
      <c r="AB108" s="99" t="s">
        <v>111</v>
      </c>
      <c r="AC108" s="32">
        <f>+AC96-AC107</f>
        <v>0</v>
      </c>
    </row>
  </sheetData>
  <autoFilter ref="A6:AE94" xr:uid="{6F24B017-0617-4541-AB24-8A1BA80908FC}"/>
  <mergeCells count="1">
    <mergeCell ref="P5:S5"/>
  </mergeCells>
  <pageMargins left="0" right="0" top="0" bottom="0" header="0.3" footer="0.3"/>
  <pageSetup scale="65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E333-B2D3-4284-8B86-A7B1C339E6A4}">
  <sheetPr>
    <tabColor theme="8" tint="0.59999389629810485"/>
    <pageSetUpPr fitToPage="1"/>
  </sheetPr>
  <dimension ref="A1:F92"/>
  <sheetViews>
    <sheetView zoomScaleNormal="100" workbookViewId="0">
      <pane ySplit="5" topLeftCell="A52" activePane="bottomLeft" state="frozen"/>
      <selection activeCell="H16" sqref="H16"/>
      <selection pane="bottomLeft" activeCell="H16" sqref="H16"/>
    </sheetView>
  </sheetViews>
  <sheetFormatPr defaultRowHeight="15" x14ac:dyDescent="0.25"/>
  <cols>
    <col min="1" max="1" width="9.7109375" style="18" bestFit="1" customWidth="1"/>
    <col min="2" max="2" width="6.7109375" customWidth="1"/>
    <col min="3" max="3" width="81.42578125" bestFit="1" customWidth="1"/>
    <col min="4" max="4" width="50.5703125" style="17" bestFit="1" customWidth="1"/>
    <col min="5" max="5" width="29.140625" style="17" bestFit="1" customWidth="1"/>
    <col min="6" max="6" width="9.85546875" style="32" bestFit="1" customWidth="1"/>
  </cols>
  <sheetData>
    <row r="1" spans="1:6" x14ac:dyDescent="0.25">
      <c r="A1" s="29" t="s">
        <v>31</v>
      </c>
      <c r="B1" s="17"/>
    </row>
    <row r="2" spans="1:6" x14ac:dyDescent="0.25">
      <c r="A2" s="29" t="s">
        <v>32</v>
      </c>
      <c r="B2" s="17"/>
    </row>
    <row r="3" spans="1:6" x14ac:dyDescent="0.25">
      <c r="A3" s="29" t="s">
        <v>348</v>
      </c>
      <c r="B3" s="17"/>
    </row>
    <row r="4" spans="1:6" x14ac:dyDescent="0.25">
      <c r="B4" s="17"/>
    </row>
    <row r="5" spans="1:6" ht="45" x14ac:dyDescent="0.25">
      <c r="A5" s="19" t="s">
        <v>33</v>
      </c>
      <c r="B5" s="43" t="s">
        <v>29</v>
      </c>
      <c r="C5" s="20" t="s">
        <v>43</v>
      </c>
      <c r="D5" s="20" t="s">
        <v>35</v>
      </c>
      <c r="E5" s="20" t="s">
        <v>20</v>
      </c>
      <c r="F5" s="102" t="s">
        <v>91</v>
      </c>
    </row>
    <row r="6" spans="1:6" s="27" customFormat="1" x14ac:dyDescent="0.25">
      <c r="A6" s="25">
        <v>45861</v>
      </c>
      <c r="B6" s="24"/>
      <c r="C6" s="26" t="s">
        <v>204</v>
      </c>
      <c r="D6" s="21" t="s">
        <v>85</v>
      </c>
      <c r="E6" s="24" t="s">
        <v>30</v>
      </c>
      <c r="F6" s="67">
        <v>110</v>
      </c>
    </row>
    <row r="7" spans="1:6" s="27" customFormat="1" x14ac:dyDescent="0.25">
      <c r="A7" s="25">
        <v>45861</v>
      </c>
      <c r="B7" s="24"/>
      <c r="C7" s="26" t="s">
        <v>205</v>
      </c>
      <c r="D7" s="21" t="s">
        <v>146</v>
      </c>
      <c r="E7" s="24" t="s">
        <v>30</v>
      </c>
      <c r="F7" s="67">
        <v>16.989999999999998</v>
      </c>
    </row>
    <row r="8" spans="1:6" s="27" customFormat="1" x14ac:dyDescent="0.25">
      <c r="A8" s="25">
        <v>45867</v>
      </c>
      <c r="B8" s="24"/>
      <c r="C8" s="26" t="s">
        <v>206</v>
      </c>
      <c r="D8" s="21" t="s">
        <v>61</v>
      </c>
      <c r="E8" s="24" t="s">
        <v>30</v>
      </c>
      <c r="F8" s="67">
        <v>72</v>
      </c>
    </row>
    <row r="9" spans="1:6" s="27" customFormat="1" x14ac:dyDescent="0.25">
      <c r="A9" s="25">
        <v>45894</v>
      </c>
      <c r="B9" s="24"/>
      <c r="C9" s="26" t="s">
        <v>207</v>
      </c>
      <c r="D9" s="21" t="s">
        <v>85</v>
      </c>
      <c r="E9" s="24" t="s">
        <v>30</v>
      </c>
      <c r="F9" s="67">
        <v>110</v>
      </c>
    </row>
    <row r="10" spans="1:6" s="27" customFormat="1" x14ac:dyDescent="0.25">
      <c r="A10" s="25">
        <v>45894</v>
      </c>
      <c r="B10" s="24"/>
      <c r="C10" s="26" t="s">
        <v>208</v>
      </c>
      <c r="D10" s="21" t="s">
        <v>146</v>
      </c>
      <c r="E10" s="24" t="s">
        <v>30</v>
      </c>
      <c r="F10" s="67">
        <v>16.989999999999998</v>
      </c>
    </row>
    <row r="11" spans="1:6" s="27" customFormat="1" x14ac:dyDescent="0.25">
      <c r="A11" s="25">
        <v>45898</v>
      </c>
      <c r="B11" s="24"/>
      <c r="C11" s="26" t="s">
        <v>209</v>
      </c>
      <c r="D11" s="21" t="s">
        <v>61</v>
      </c>
      <c r="E11" s="24" t="s">
        <v>30</v>
      </c>
      <c r="F11" s="67">
        <v>72</v>
      </c>
    </row>
    <row r="12" spans="1:6" s="27" customFormat="1" x14ac:dyDescent="0.25">
      <c r="A12" s="25">
        <v>45873</v>
      </c>
      <c r="B12" s="24"/>
      <c r="C12" s="26" t="s">
        <v>216</v>
      </c>
      <c r="D12" s="21" t="s">
        <v>217</v>
      </c>
      <c r="E12" s="24" t="s">
        <v>218</v>
      </c>
      <c r="F12" s="67">
        <v>165.17</v>
      </c>
    </row>
    <row r="13" spans="1:6" s="27" customFormat="1" x14ac:dyDescent="0.25">
      <c r="A13" s="25">
        <v>45898</v>
      </c>
      <c r="B13" s="24"/>
      <c r="C13" s="26" t="s">
        <v>219</v>
      </c>
      <c r="D13" s="21" t="s">
        <v>217</v>
      </c>
      <c r="E13" s="24" t="s">
        <v>218</v>
      </c>
      <c r="F13" s="67">
        <v>219.9</v>
      </c>
    </row>
    <row r="14" spans="1:6" s="27" customFormat="1" x14ac:dyDescent="0.25">
      <c r="A14" s="25">
        <v>45898</v>
      </c>
      <c r="B14" s="24"/>
      <c r="C14" s="26" t="s">
        <v>220</v>
      </c>
      <c r="D14" s="21" t="s">
        <v>217</v>
      </c>
      <c r="E14" s="24" t="s">
        <v>218</v>
      </c>
      <c r="F14" s="67">
        <v>110.93</v>
      </c>
    </row>
    <row r="15" spans="1:6" s="27" customFormat="1" x14ac:dyDescent="0.25">
      <c r="A15" s="25">
        <v>45923</v>
      </c>
      <c r="B15" s="24"/>
      <c r="C15" s="26" t="s">
        <v>285</v>
      </c>
      <c r="D15" s="21" t="s">
        <v>85</v>
      </c>
      <c r="E15" s="24" t="s">
        <v>30</v>
      </c>
      <c r="F15" s="67">
        <v>110</v>
      </c>
    </row>
    <row r="16" spans="1:6" s="27" customFormat="1" x14ac:dyDescent="0.25">
      <c r="A16" s="25">
        <v>45923</v>
      </c>
      <c r="B16" s="24"/>
      <c r="C16" s="26" t="s">
        <v>286</v>
      </c>
      <c r="D16" s="21" t="s">
        <v>146</v>
      </c>
      <c r="E16" s="24" t="s">
        <v>30</v>
      </c>
      <c r="F16" s="67">
        <v>16.989999999999998</v>
      </c>
    </row>
    <row r="17" spans="1:6" s="27" customFormat="1" x14ac:dyDescent="0.25">
      <c r="A17" s="25">
        <v>45929</v>
      </c>
      <c r="B17" s="24"/>
      <c r="C17" s="26" t="s">
        <v>287</v>
      </c>
      <c r="D17" s="21" t="s">
        <v>61</v>
      </c>
      <c r="E17" s="24" t="s">
        <v>30</v>
      </c>
      <c r="F17" s="67">
        <v>72</v>
      </c>
    </row>
    <row r="18" spans="1:6" s="27" customFormat="1" x14ac:dyDescent="0.25">
      <c r="A18" s="25">
        <v>45931</v>
      </c>
      <c r="B18" s="24"/>
      <c r="C18" s="26" t="s">
        <v>304</v>
      </c>
      <c r="D18" s="21" t="s">
        <v>217</v>
      </c>
      <c r="E18" s="24" t="s">
        <v>218</v>
      </c>
      <c r="F18" s="67">
        <v>266.43</v>
      </c>
    </row>
    <row r="19" spans="1:6" s="27" customFormat="1" x14ac:dyDescent="0.25">
      <c r="A19" s="25">
        <v>45953</v>
      </c>
      <c r="B19" s="24"/>
      <c r="C19" s="26" t="s">
        <v>306</v>
      </c>
      <c r="D19" s="21" t="s">
        <v>85</v>
      </c>
      <c r="E19" s="24" t="s">
        <v>30</v>
      </c>
      <c r="F19" s="67">
        <v>110</v>
      </c>
    </row>
    <row r="20" spans="1:6" s="27" customFormat="1" x14ac:dyDescent="0.25">
      <c r="A20" s="25">
        <v>45953</v>
      </c>
      <c r="B20" s="24"/>
      <c r="C20" s="26" t="s">
        <v>307</v>
      </c>
      <c r="D20" s="21" t="s">
        <v>146</v>
      </c>
      <c r="E20" s="24" t="s">
        <v>30</v>
      </c>
      <c r="F20" s="67">
        <v>16.989999999999998</v>
      </c>
    </row>
    <row r="21" spans="1:6" s="27" customFormat="1" x14ac:dyDescent="0.25">
      <c r="A21" s="25">
        <v>45959</v>
      </c>
      <c r="B21" s="24"/>
      <c r="C21" s="26" t="s">
        <v>308</v>
      </c>
      <c r="D21" s="21" t="s">
        <v>61</v>
      </c>
      <c r="E21" s="24" t="s">
        <v>30</v>
      </c>
      <c r="F21" s="67">
        <v>72</v>
      </c>
    </row>
    <row r="22" spans="1:6" s="27" customFormat="1" x14ac:dyDescent="0.25">
      <c r="A22" s="25">
        <v>45971</v>
      </c>
      <c r="B22" s="24"/>
      <c r="C22" s="26" t="s">
        <v>341</v>
      </c>
      <c r="D22" s="21" t="s">
        <v>217</v>
      </c>
      <c r="E22" s="24" t="s">
        <v>218</v>
      </c>
      <c r="F22" s="67">
        <v>108.75</v>
      </c>
    </row>
    <row r="23" spans="1:6" s="27" customFormat="1" x14ac:dyDescent="0.25">
      <c r="A23" s="25">
        <v>45985</v>
      </c>
      <c r="B23" s="24"/>
      <c r="C23" s="26" t="s">
        <v>345</v>
      </c>
      <c r="D23" s="21" t="s">
        <v>44</v>
      </c>
      <c r="E23" s="24" t="s">
        <v>24</v>
      </c>
      <c r="F23" s="67">
        <v>200.59</v>
      </c>
    </row>
    <row r="24" spans="1:6" s="27" customFormat="1" x14ac:dyDescent="0.25">
      <c r="A24" s="25">
        <v>45985</v>
      </c>
      <c r="B24" s="24"/>
      <c r="C24" s="26" t="s">
        <v>346</v>
      </c>
      <c r="D24" s="21" t="s">
        <v>85</v>
      </c>
      <c r="E24" s="24" t="s">
        <v>30</v>
      </c>
      <c r="F24" s="67">
        <v>110</v>
      </c>
    </row>
    <row r="25" spans="1:6" s="27" customFormat="1" x14ac:dyDescent="0.25">
      <c r="A25" s="25">
        <v>45985</v>
      </c>
      <c r="B25" s="24"/>
      <c r="C25" s="26" t="s">
        <v>347</v>
      </c>
      <c r="D25" s="21" t="s">
        <v>146</v>
      </c>
      <c r="E25" s="24" t="s">
        <v>30</v>
      </c>
      <c r="F25" s="67">
        <v>16.989999999999998</v>
      </c>
    </row>
    <row r="26" spans="1:6" x14ac:dyDescent="0.25">
      <c r="A26" s="25">
        <v>45992</v>
      </c>
      <c r="B26" s="24"/>
      <c r="C26" s="26" t="s">
        <v>376</v>
      </c>
      <c r="D26" s="21" t="s">
        <v>61</v>
      </c>
      <c r="E26" s="24" t="s">
        <v>30</v>
      </c>
      <c r="F26" s="67">
        <v>72</v>
      </c>
    </row>
    <row r="27" spans="1:6" x14ac:dyDescent="0.25">
      <c r="A27" s="25">
        <v>46001</v>
      </c>
      <c r="B27" s="24"/>
      <c r="C27" s="26" t="s">
        <v>377</v>
      </c>
      <c r="D27" s="21" t="s">
        <v>217</v>
      </c>
      <c r="E27" s="24" t="s">
        <v>218</v>
      </c>
      <c r="F27" s="67">
        <v>108.75</v>
      </c>
    </row>
    <row r="28" spans="1:6" x14ac:dyDescent="0.25">
      <c r="A28" s="25">
        <v>46014</v>
      </c>
      <c r="B28" s="24"/>
      <c r="C28" s="26" t="s">
        <v>379</v>
      </c>
      <c r="D28" s="21" t="s">
        <v>85</v>
      </c>
      <c r="E28" s="24" t="s">
        <v>30</v>
      </c>
      <c r="F28" s="67">
        <v>110</v>
      </c>
    </row>
    <row r="29" spans="1:6" x14ac:dyDescent="0.25">
      <c r="A29" s="25">
        <v>46014</v>
      </c>
      <c r="B29" s="24"/>
      <c r="C29" s="26" t="s">
        <v>380</v>
      </c>
      <c r="D29" s="21" t="s">
        <v>146</v>
      </c>
      <c r="E29" s="24" t="s">
        <v>30</v>
      </c>
      <c r="F29" s="67">
        <v>16.989999999999998</v>
      </c>
    </row>
    <row r="30" spans="1:6" x14ac:dyDescent="0.25">
      <c r="A30" s="25">
        <v>46015</v>
      </c>
      <c r="B30" s="24"/>
      <c r="C30" s="26" t="s">
        <v>381</v>
      </c>
      <c r="D30" s="21" t="s">
        <v>217</v>
      </c>
      <c r="E30" s="24" t="s">
        <v>218</v>
      </c>
      <c r="F30" s="67">
        <v>154.66</v>
      </c>
    </row>
    <row r="31" spans="1:6" x14ac:dyDescent="0.25">
      <c r="A31" s="25">
        <v>46020</v>
      </c>
      <c r="B31" s="24"/>
      <c r="C31" s="26" t="s">
        <v>382</v>
      </c>
      <c r="D31" s="21" t="s">
        <v>61</v>
      </c>
      <c r="E31" s="24" t="s">
        <v>30</v>
      </c>
      <c r="F31" s="67">
        <v>72</v>
      </c>
    </row>
    <row r="32" spans="1:6" s="27" customFormat="1" x14ac:dyDescent="0.25">
      <c r="A32" s="25"/>
      <c r="B32" s="24"/>
      <c r="C32" s="26"/>
      <c r="D32" s="21"/>
      <c r="E32" s="24"/>
      <c r="F32" s="67"/>
    </row>
    <row r="33" spans="1:6" s="27" customFormat="1" x14ac:dyDescent="0.25">
      <c r="A33" s="25"/>
      <c r="B33" s="24"/>
      <c r="C33" s="26"/>
      <c r="D33" s="31"/>
      <c r="E33" s="129" t="s">
        <v>215</v>
      </c>
      <c r="F33" s="130">
        <f>SUM(F6:F32)</f>
        <v>2529.12</v>
      </c>
    </row>
    <row r="34" spans="1:6" s="27" customFormat="1" x14ac:dyDescent="0.25">
      <c r="A34" s="25"/>
      <c r="B34" s="24"/>
      <c r="C34" s="26"/>
      <c r="D34" s="31"/>
      <c r="E34" s="100"/>
      <c r="F34" s="67"/>
    </row>
    <row r="35" spans="1:6" s="27" customFormat="1" x14ac:dyDescent="0.25">
      <c r="A35" s="25">
        <v>45870</v>
      </c>
      <c r="B35" s="24"/>
      <c r="C35" s="26" t="s">
        <v>210</v>
      </c>
      <c r="D35" s="21" t="s">
        <v>112</v>
      </c>
      <c r="E35" s="24" t="s">
        <v>112</v>
      </c>
      <c r="F35" s="67">
        <v>-1000</v>
      </c>
    </row>
    <row r="36" spans="1:6" s="27" customFormat="1" x14ac:dyDescent="0.25">
      <c r="A36" s="25">
        <v>45889</v>
      </c>
      <c r="B36" s="24"/>
      <c r="C36" s="26" t="s">
        <v>211</v>
      </c>
      <c r="D36" s="21" t="s">
        <v>112</v>
      </c>
      <c r="E36" s="24" t="s">
        <v>112</v>
      </c>
      <c r="F36" s="67">
        <v>-1000</v>
      </c>
    </row>
    <row r="37" spans="1:6" s="27" customFormat="1" x14ac:dyDescent="0.25">
      <c r="A37" s="25">
        <v>45898</v>
      </c>
      <c r="B37" s="24"/>
      <c r="C37" s="26" t="s">
        <v>212</v>
      </c>
      <c r="D37" s="21" t="s">
        <v>112</v>
      </c>
      <c r="E37" s="24" t="s">
        <v>112</v>
      </c>
      <c r="F37" s="67">
        <v>-1000</v>
      </c>
    </row>
    <row r="38" spans="1:6" s="27" customFormat="1" x14ac:dyDescent="0.25">
      <c r="A38" s="25">
        <v>45908</v>
      </c>
      <c r="B38" s="24"/>
      <c r="C38" s="26" t="s">
        <v>87</v>
      </c>
      <c r="D38" s="21" t="s">
        <v>112</v>
      </c>
      <c r="E38" s="24" t="s">
        <v>112</v>
      </c>
      <c r="F38" s="67">
        <v>-2000</v>
      </c>
    </row>
    <row r="39" spans="1:6" s="27" customFormat="1" x14ac:dyDescent="0.25">
      <c r="A39" s="25">
        <v>45926</v>
      </c>
      <c r="B39" s="24"/>
      <c r="C39" s="26" t="s">
        <v>87</v>
      </c>
      <c r="D39" s="21" t="s">
        <v>112</v>
      </c>
      <c r="E39" s="24" t="s">
        <v>112</v>
      </c>
      <c r="F39" s="67">
        <v>-3484.89</v>
      </c>
    </row>
    <row r="40" spans="1:6" s="27" customFormat="1" x14ac:dyDescent="0.25">
      <c r="A40" s="25">
        <v>45929</v>
      </c>
      <c r="B40" s="24"/>
      <c r="C40" s="26" t="s">
        <v>283</v>
      </c>
      <c r="D40" s="21" t="s">
        <v>112</v>
      </c>
      <c r="E40" s="24" t="s">
        <v>112</v>
      </c>
      <c r="F40" s="67">
        <v>5000</v>
      </c>
    </row>
    <row r="41" spans="1:6" s="27" customFormat="1" x14ac:dyDescent="0.25">
      <c r="A41" s="25">
        <v>45973</v>
      </c>
      <c r="B41" s="24"/>
      <c r="C41" s="26" t="s">
        <v>342</v>
      </c>
      <c r="D41" s="21" t="s">
        <v>112</v>
      </c>
      <c r="E41" s="24" t="s">
        <v>112</v>
      </c>
      <c r="F41" s="67">
        <v>-1000</v>
      </c>
    </row>
    <row r="42" spans="1:6" s="27" customFormat="1" x14ac:dyDescent="0.25">
      <c r="A42" s="25">
        <v>45981</v>
      </c>
      <c r="B42" s="24"/>
      <c r="C42" s="26" t="s">
        <v>87</v>
      </c>
      <c r="D42" s="21" t="s">
        <v>112</v>
      </c>
      <c r="E42" s="24" t="s">
        <v>112</v>
      </c>
      <c r="F42" s="67">
        <v>-1522.89</v>
      </c>
    </row>
    <row r="43" spans="1:6" x14ac:dyDescent="0.25">
      <c r="A43" s="25">
        <v>45992</v>
      </c>
      <c r="B43" s="24"/>
      <c r="C43" s="26" t="s">
        <v>375</v>
      </c>
      <c r="D43" s="21" t="s">
        <v>112</v>
      </c>
      <c r="E43" s="24" t="s">
        <v>112</v>
      </c>
      <c r="F43" s="67">
        <v>1000</v>
      </c>
    </row>
    <row r="44" spans="1:6" s="27" customFormat="1" x14ac:dyDescent="0.25">
      <c r="A44" s="25"/>
      <c r="B44" s="24"/>
      <c r="C44" s="26"/>
      <c r="D44" s="31"/>
      <c r="E44" s="24"/>
      <c r="F44" s="67"/>
    </row>
    <row r="45" spans="1:6" s="27" customFormat="1" x14ac:dyDescent="0.25">
      <c r="A45" s="25"/>
      <c r="B45" s="24"/>
      <c r="C45" s="26"/>
      <c r="D45" s="31"/>
      <c r="E45" s="100" t="s">
        <v>113</v>
      </c>
      <c r="F45" s="130">
        <f>SUM(F35:F44)</f>
        <v>-5007.78</v>
      </c>
    </row>
    <row r="46" spans="1:6" s="27" customFormat="1" x14ac:dyDescent="0.25">
      <c r="A46" s="25"/>
      <c r="B46" s="24"/>
      <c r="C46" s="26"/>
      <c r="D46" s="21"/>
      <c r="E46" s="24"/>
      <c r="F46" s="67"/>
    </row>
    <row r="47" spans="1:6" s="27" customFormat="1" x14ac:dyDescent="0.25">
      <c r="A47" s="25">
        <v>45863</v>
      </c>
      <c r="B47" s="24"/>
      <c r="C47" s="26" t="s">
        <v>228</v>
      </c>
      <c r="D47" s="31" t="s">
        <v>117</v>
      </c>
      <c r="E47" s="24" t="s">
        <v>50</v>
      </c>
      <c r="F47" s="67">
        <v>37.049999999999997</v>
      </c>
    </row>
    <row r="48" spans="1:6" s="27" customFormat="1" x14ac:dyDescent="0.25">
      <c r="A48" s="25">
        <v>45873</v>
      </c>
      <c r="B48" s="24"/>
      <c r="C48" s="26" t="s">
        <v>229</v>
      </c>
      <c r="D48" s="31" t="s">
        <v>117</v>
      </c>
      <c r="E48" s="24" t="s">
        <v>50</v>
      </c>
      <c r="F48" s="67">
        <v>198.15</v>
      </c>
    </row>
    <row r="49" spans="1:6" s="27" customFormat="1" x14ac:dyDescent="0.25">
      <c r="A49" s="25">
        <v>45902</v>
      </c>
      <c r="B49" s="24"/>
      <c r="C49" s="26" t="s">
        <v>279</v>
      </c>
      <c r="D49" s="31" t="s">
        <v>117</v>
      </c>
      <c r="E49" s="24" t="s">
        <v>50</v>
      </c>
      <c r="F49" s="67">
        <v>245.8</v>
      </c>
    </row>
    <row r="50" spans="1:6" s="27" customFormat="1" x14ac:dyDescent="0.25">
      <c r="A50" s="25"/>
      <c r="B50" s="24"/>
      <c r="C50" s="26"/>
      <c r="D50" s="31"/>
      <c r="E50" s="24"/>
      <c r="F50" s="67"/>
    </row>
    <row r="51" spans="1:6" s="27" customFormat="1" x14ac:dyDescent="0.25">
      <c r="A51" s="25"/>
      <c r="B51" s="21"/>
      <c r="C51" s="26"/>
      <c r="D51" s="31"/>
      <c r="E51" s="28" t="s">
        <v>63</v>
      </c>
      <c r="F51" s="130">
        <f>SUM(F47:F50)</f>
        <v>481</v>
      </c>
    </row>
    <row r="52" spans="1:6" s="27" customFormat="1" x14ac:dyDescent="0.25">
      <c r="A52" s="25"/>
      <c r="B52" s="21"/>
      <c r="C52" s="26"/>
      <c r="D52" s="31"/>
      <c r="E52" s="28"/>
      <c r="F52" s="67"/>
    </row>
    <row r="53" spans="1:6" s="27" customFormat="1" x14ac:dyDescent="0.25">
      <c r="A53" s="25">
        <v>45861</v>
      </c>
      <c r="B53" s="24"/>
      <c r="C53" s="26" t="s">
        <v>221</v>
      </c>
      <c r="D53" s="21" t="s">
        <v>44</v>
      </c>
      <c r="E53" s="24" t="s">
        <v>24</v>
      </c>
      <c r="F53" s="67">
        <v>200.59</v>
      </c>
    </row>
    <row r="54" spans="1:6" s="27" customFormat="1" x14ac:dyDescent="0.25">
      <c r="A54" s="25">
        <v>45894</v>
      </c>
      <c r="B54" s="24"/>
      <c r="C54" s="26" t="s">
        <v>222</v>
      </c>
      <c r="D54" s="21" t="s">
        <v>44</v>
      </c>
      <c r="E54" s="24" t="s">
        <v>24</v>
      </c>
      <c r="F54" s="67">
        <v>200.59</v>
      </c>
    </row>
    <row r="55" spans="1:6" s="27" customFormat="1" x14ac:dyDescent="0.25">
      <c r="A55" s="25">
        <v>45923</v>
      </c>
      <c r="B55" s="24"/>
      <c r="C55" s="26" t="s">
        <v>284</v>
      </c>
      <c r="D55" s="21" t="s">
        <v>44</v>
      </c>
      <c r="E55" s="24" t="s">
        <v>24</v>
      </c>
      <c r="F55" s="67">
        <v>200.59</v>
      </c>
    </row>
    <row r="56" spans="1:6" s="27" customFormat="1" x14ac:dyDescent="0.25">
      <c r="A56" s="25">
        <v>45953</v>
      </c>
      <c r="B56" s="24"/>
      <c r="C56" s="26" t="s">
        <v>305</v>
      </c>
      <c r="D56" s="21" t="s">
        <v>44</v>
      </c>
      <c r="E56" s="24" t="s">
        <v>24</v>
      </c>
      <c r="F56" s="67">
        <v>200.59</v>
      </c>
    </row>
    <row r="57" spans="1:6" x14ac:dyDescent="0.25">
      <c r="A57" s="25">
        <v>46014</v>
      </c>
      <c r="B57" s="24"/>
      <c r="C57" s="26" t="s">
        <v>378</v>
      </c>
      <c r="D57" s="21" t="s">
        <v>44</v>
      </c>
      <c r="E57" s="24" t="s">
        <v>24</v>
      </c>
      <c r="F57" s="67">
        <v>200.59</v>
      </c>
    </row>
    <row r="58" spans="1:6" s="27" customFormat="1" x14ac:dyDescent="0.25">
      <c r="A58" s="25"/>
      <c r="B58" s="24"/>
      <c r="C58" s="26"/>
      <c r="D58" s="31"/>
      <c r="E58" s="24"/>
      <c r="F58" s="67"/>
    </row>
    <row r="59" spans="1:6" s="27" customFormat="1" x14ac:dyDescent="0.25">
      <c r="A59" s="25"/>
      <c r="B59" s="24"/>
      <c r="C59" s="26"/>
      <c r="D59" s="31"/>
      <c r="E59" s="28" t="s">
        <v>62</v>
      </c>
      <c r="F59" s="130">
        <f>SUM(F53:F58)</f>
        <v>1002.95</v>
      </c>
    </row>
    <row r="60" spans="1:6" s="27" customFormat="1" x14ac:dyDescent="0.25">
      <c r="A60" s="25"/>
      <c r="B60" s="24"/>
      <c r="C60" s="26"/>
      <c r="D60" s="31"/>
      <c r="E60" s="28"/>
      <c r="F60" s="67"/>
    </row>
    <row r="61" spans="1:6" s="27" customFormat="1" x14ac:dyDescent="0.25">
      <c r="A61" s="25">
        <v>45868</v>
      </c>
      <c r="B61" s="24"/>
      <c r="C61" s="26" t="s">
        <v>213</v>
      </c>
      <c r="D61" s="21" t="s">
        <v>214</v>
      </c>
      <c r="E61" s="24" t="s">
        <v>121</v>
      </c>
      <c r="F61" s="67">
        <v>133.77000000000001</v>
      </c>
    </row>
    <row r="62" spans="1:6" s="27" customFormat="1" x14ac:dyDescent="0.25">
      <c r="A62" s="25"/>
      <c r="B62" s="24"/>
      <c r="C62" s="26"/>
      <c r="D62" s="31"/>
      <c r="E62" s="24"/>
      <c r="F62" s="67"/>
    </row>
    <row r="63" spans="1:6" s="27" customFormat="1" x14ac:dyDescent="0.25">
      <c r="A63" s="25"/>
      <c r="B63" s="24"/>
      <c r="C63" s="26"/>
      <c r="D63" s="31"/>
      <c r="E63" s="28" t="s">
        <v>143</v>
      </c>
      <c r="F63" s="130">
        <f>SUM(F61:F62)</f>
        <v>133.77000000000001</v>
      </c>
    </row>
    <row r="64" spans="1:6" s="27" customFormat="1" x14ac:dyDescent="0.25">
      <c r="A64" s="25"/>
      <c r="B64" s="24"/>
      <c r="C64" s="26"/>
      <c r="D64" s="31"/>
      <c r="E64" s="28"/>
      <c r="F64" s="67"/>
    </row>
    <row r="65" spans="1:6" s="27" customFormat="1" x14ac:dyDescent="0.25">
      <c r="A65" s="25">
        <v>45880</v>
      </c>
      <c r="B65" s="24"/>
      <c r="C65" s="26" t="s">
        <v>223</v>
      </c>
      <c r="D65" s="21" t="s">
        <v>224</v>
      </c>
      <c r="E65" s="24" t="s">
        <v>225</v>
      </c>
      <c r="F65" s="67">
        <v>232.98</v>
      </c>
    </row>
    <row r="66" spans="1:6" s="27" customFormat="1" x14ac:dyDescent="0.25">
      <c r="A66" s="25">
        <v>45880</v>
      </c>
      <c r="B66" s="24"/>
      <c r="C66" s="26" t="s">
        <v>226</v>
      </c>
      <c r="D66" s="21" t="s">
        <v>224</v>
      </c>
      <c r="E66" s="24" t="s">
        <v>225</v>
      </c>
      <c r="F66" s="67">
        <v>111.46</v>
      </c>
    </row>
    <row r="67" spans="1:6" s="27" customFormat="1" ht="30" x14ac:dyDescent="0.25">
      <c r="A67" s="25">
        <v>45904</v>
      </c>
      <c r="B67" s="24"/>
      <c r="C67" s="26" t="s">
        <v>280</v>
      </c>
      <c r="D67" s="31" t="s">
        <v>281</v>
      </c>
      <c r="E67" s="24" t="s">
        <v>282</v>
      </c>
      <c r="F67" s="67">
        <v>108</v>
      </c>
    </row>
    <row r="68" spans="1:6" s="27" customFormat="1" x14ac:dyDescent="0.25">
      <c r="A68" s="25"/>
      <c r="B68" s="24"/>
      <c r="C68" s="26"/>
      <c r="D68" s="31"/>
      <c r="E68" s="24"/>
      <c r="F68" s="67"/>
    </row>
    <row r="69" spans="1:6" s="27" customFormat="1" x14ac:dyDescent="0.25">
      <c r="A69" s="25"/>
      <c r="B69" s="24"/>
      <c r="C69" s="26"/>
      <c r="D69" s="31"/>
      <c r="E69" s="28" t="s">
        <v>227</v>
      </c>
      <c r="F69" s="130">
        <f>SUM(F65:F68)</f>
        <v>452.44</v>
      </c>
    </row>
    <row r="70" spans="1:6" s="27" customFormat="1" x14ac:dyDescent="0.25">
      <c r="A70" s="25"/>
      <c r="B70" s="24"/>
      <c r="C70" s="26"/>
      <c r="D70" s="31"/>
      <c r="E70" s="28"/>
      <c r="F70" s="67"/>
    </row>
    <row r="71" spans="1:6" s="27" customFormat="1" x14ac:dyDescent="0.25">
      <c r="A71" s="25">
        <v>45960</v>
      </c>
      <c r="B71" s="24"/>
      <c r="C71" s="26" t="s">
        <v>309</v>
      </c>
      <c r="D71" s="21" t="s">
        <v>332</v>
      </c>
      <c r="E71" s="24" t="s">
        <v>13</v>
      </c>
      <c r="F71" s="67">
        <v>103.5</v>
      </c>
    </row>
    <row r="72" spans="1:6" s="27" customFormat="1" x14ac:dyDescent="0.25">
      <c r="A72" s="25">
        <v>45973</v>
      </c>
      <c r="B72" s="24"/>
      <c r="C72" s="26" t="s">
        <v>343</v>
      </c>
      <c r="D72" s="21" t="s">
        <v>344</v>
      </c>
      <c r="E72" s="24" t="s">
        <v>13</v>
      </c>
      <c r="F72" s="67">
        <v>435.95</v>
      </c>
    </row>
    <row r="73" spans="1:6" s="27" customFormat="1" x14ac:dyDescent="0.25">
      <c r="A73" s="25"/>
      <c r="B73" s="24"/>
      <c r="C73" s="26"/>
      <c r="D73" s="31"/>
      <c r="E73" s="24"/>
      <c r="F73" s="67"/>
    </row>
    <row r="74" spans="1:6" s="27" customFormat="1" x14ac:dyDescent="0.25">
      <c r="A74" s="25"/>
      <c r="B74" s="24"/>
      <c r="C74" s="26"/>
      <c r="D74" s="31"/>
      <c r="E74" s="28" t="s">
        <v>310</v>
      </c>
      <c r="F74" s="130">
        <f>SUM(F71:F73)</f>
        <v>539.45000000000005</v>
      </c>
    </row>
    <row r="75" spans="1:6" s="27" customFormat="1" x14ac:dyDescent="0.25">
      <c r="A75" s="25"/>
      <c r="B75" s="24"/>
      <c r="C75" s="26"/>
      <c r="D75" s="31"/>
      <c r="E75" s="28"/>
      <c r="F75" s="130"/>
    </row>
    <row r="76" spans="1:6" s="27" customFormat="1" x14ac:dyDescent="0.25">
      <c r="A76" s="25"/>
      <c r="B76" s="24"/>
      <c r="C76" s="26"/>
      <c r="D76" s="31"/>
      <c r="E76" s="28" t="s">
        <v>45</v>
      </c>
      <c r="F76" s="130">
        <f>+F33+F45+F51+F59+F63+F69+F74</f>
        <v>130.95000000000022</v>
      </c>
    </row>
    <row r="77" spans="1:6" x14ac:dyDescent="0.25">
      <c r="F77" s="131" t="s">
        <v>288</v>
      </c>
    </row>
    <row r="80" spans="1:6" x14ac:dyDescent="0.25">
      <c r="E80" s="100" t="s">
        <v>30</v>
      </c>
      <c r="F80" s="130">
        <f>+F33</f>
        <v>2529.12</v>
      </c>
    </row>
    <row r="81" spans="5:6" x14ac:dyDescent="0.25">
      <c r="E81" s="28" t="s">
        <v>50</v>
      </c>
      <c r="F81" s="130">
        <f>+F51</f>
        <v>481</v>
      </c>
    </row>
    <row r="82" spans="5:6" x14ac:dyDescent="0.25">
      <c r="E82" s="28" t="s">
        <v>24</v>
      </c>
      <c r="F82" s="130">
        <f>+F59</f>
        <v>1002.95</v>
      </c>
    </row>
    <row r="83" spans="5:6" x14ac:dyDescent="0.25">
      <c r="E83" s="28" t="s">
        <v>121</v>
      </c>
      <c r="F83" s="130">
        <f>+F63</f>
        <v>133.77000000000001</v>
      </c>
    </row>
    <row r="84" spans="5:6" x14ac:dyDescent="0.25">
      <c r="E84" s="28" t="s">
        <v>225</v>
      </c>
      <c r="F84" s="130">
        <f>+F69</f>
        <v>452.44</v>
      </c>
    </row>
    <row r="85" spans="5:6" x14ac:dyDescent="0.25">
      <c r="E85" s="28" t="s">
        <v>13</v>
      </c>
      <c r="F85" s="130">
        <f>+F74</f>
        <v>539.45000000000005</v>
      </c>
    </row>
    <row r="86" spans="5:6" x14ac:dyDescent="0.25">
      <c r="E86" s="28"/>
      <c r="F86" s="130"/>
    </row>
    <row r="87" spans="5:6" x14ac:dyDescent="0.25">
      <c r="E87" s="101" t="s">
        <v>114</v>
      </c>
      <c r="F87" s="130">
        <f>SUM(F80:F86)</f>
        <v>5138.7299999999996</v>
      </c>
    </row>
    <row r="88" spans="5:6" x14ac:dyDescent="0.25">
      <c r="E88" s="101"/>
      <c r="F88" s="130"/>
    </row>
    <row r="89" spans="5:6" x14ac:dyDescent="0.25">
      <c r="E89" s="28" t="s">
        <v>112</v>
      </c>
      <c r="F89" s="130">
        <f>+F45</f>
        <v>-5007.78</v>
      </c>
    </row>
    <row r="90" spans="5:6" x14ac:dyDescent="0.25">
      <c r="E90" s="28"/>
      <c r="F90" s="130"/>
    </row>
    <row r="91" spans="5:6" x14ac:dyDescent="0.25">
      <c r="E91" s="101" t="s">
        <v>45</v>
      </c>
      <c r="F91" s="130">
        <f>+F87+F89</f>
        <v>130.94999999999982</v>
      </c>
    </row>
    <row r="92" spans="5:6" x14ac:dyDescent="0.25">
      <c r="E92" s="82" t="s">
        <v>111</v>
      </c>
      <c r="F92" s="132">
        <f>+F91-F76</f>
        <v>-3.979039320256561E-13</v>
      </c>
    </row>
  </sheetData>
  <autoFilter ref="A5:J9" xr:uid="{4B55E333-B2D3-4284-8B86-A7B1C339E6A4}"/>
  <sortState xmlns:xlrd2="http://schemas.microsoft.com/office/spreadsheetml/2017/richdata2" ref="A26:F31">
    <sortCondition ref="A26:A31"/>
  </sortState>
  <pageMargins left="0" right="0" top="0" bottom="0" header="0.3" footer="0.3"/>
  <pageSetup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8E50-CA17-4E08-AC9C-2E370F6DA3E8}">
  <sheetPr>
    <tabColor theme="8" tint="0.59999389629810485"/>
  </sheetPr>
  <dimension ref="A1:B11"/>
  <sheetViews>
    <sheetView workbookViewId="0">
      <selection activeCell="H16" sqref="H16"/>
    </sheetView>
  </sheetViews>
  <sheetFormatPr defaultRowHeight="15" x14ac:dyDescent="0.25"/>
  <cols>
    <col min="1" max="1" width="40.42578125" customWidth="1"/>
    <col min="2" max="2" width="10.85546875" style="30" bestFit="1" customWidth="1"/>
  </cols>
  <sheetData>
    <row r="1" spans="1:2" x14ac:dyDescent="0.25">
      <c r="A1" s="22" t="s">
        <v>363</v>
      </c>
    </row>
    <row r="2" spans="1:2" x14ac:dyDescent="0.25">
      <c r="A2" s="22"/>
    </row>
    <row r="3" spans="1:2" x14ac:dyDescent="0.25">
      <c r="A3" t="s">
        <v>141</v>
      </c>
      <c r="B3" s="30">
        <f>+'Patriot PR Details RPT FY 25-26'!C15</f>
        <v>42788.990000000005</v>
      </c>
    </row>
    <row r="4" spans="1:2" x14ac:dyDescent="0.25">
      <c r="A4" t="s">
        <v>109</v>
      </c>
      <c r="B4" s="30">
        <f>+'FNB Payroll Acct. Rollforward'!E45</f>
        <v>616.44000000000005</v>
      </c>
    </row>
    <row r="5" spans="1:2" x14ac:dyDescent="0.25">
      <c r="A5" t="s">
        <v>92</v>
      </c>
      <c r="B5" s="30">
        <f>+'Small Purch Acct FY 25-26'!F87</f>
        <v>5138.7299999999996</v>
      </c>
    </row>
    <row r="6" spans="1:2" x14ac:dyDescent="0.25">
      <c r="A6" t="s">
        <v>93</v>
      </c>
      <c r="B6" s="30">
        <f>+'Hyde County Ledger Exp FY 25-26'!E96</f>
        <v>214301.46000000005</v>
      </c>
    </row>
    <row r="7" spans="1:2" x14ac:dyDescent="0.25">
      <c r="A7" t="s">
        <v>95</v>
      </c>
      <c r="B7" s="30">
        <f>-'Hyde County Ledger Exp FY 25-26'!F96</f>
        <v>-48569.279999999999</v>
      </c>
    </row>
    <row r="8" spans="1:2" x14ac:dyDescent="0.25">
      <c r="A8" s="22" t="s">
        <v>3</v>
      </c>
      <c r="B8" s="70">
        <f>SUM(B3:B7)</f>
        <v>214276.34000000005</v>
      </c>
    </row>
    <row r="9" spans="1:2" x14ac:dyDescent="0.25">
      <c r="A9" s="22" t="s">
        <v>94</v>
      </c>
      <c r="B9" s="69">
        <f>+'2025-2026 Actual vs Budget'!D61</f>
        <v>214276.34</v>
      </c>
    </row>
    <row r="10" spans="1:2" ht="15.75" thickBot="1" x14ac:dyDescent="0.3">
      <c r="A10" s="22" t="s">
        <v>90</v>
      </c>
      <c r="B10" s="68">
        <f>+B8-B9</f>
        <v>0</v>
      </c>
    </row>
    <row r="11" spans="1:2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84A-A9BA-4097-A3BA-180536827427}">
  <sheetPr>
    <tabColor theme="8" tint="0.59999389629810485"/>
  </sheetPr>
  <dimension ref="A1:B7"/>
  <sheetViews>
    <sheetView workbookViewId="0">
      <selection activeCell="H16" sqref="H16"/>
    </sheetView>
  </sheetViews>
  <sheetFormatPr defaultRowHeight="15" x14ac:dyDescent="0.25"/>
  <cols>
    <col min="1" max="1" width="10.140625" bestFit="1" customWidth="1"/>
    <col min="2" max="2" width="71.5703125" bestFit="1" customWidth="1"/>
    <col min="247" max="247" width="46" bestFit="1" customWidth="1"/>
    <col min="248" max="248" width="15" bestFit="1" customWidth="1"/>
    <col min="249" max="249" width="21" bestFit="1" customWidth="1"/>
    <col min="503" max="503" width="46" bestFit="1" customWidth="1"/>
    <col min="504" max="504" width="15" bestFit="1" customWidth="1"/>
    <col min="505" max="505" width="21" bestFit="1" customWidth="1"/>
    <col min="759" max="759" width="46" bestFit="1" customWidth="1"/>
    <col min="760" max="760" width="15" bestFit="1" customWidth="1"/>
    <col min="761" max="761" width="21" bestFit="1" customWidth="1"/>
    <col min="1015" max="1015" width="46" bestFit="1" customWidth="1"/>
    <col min="1016" max="1016" width="15" bestFit="1" customWidth="1"/>
    <col min="1017" max="1017" width="21" bestFit="1" customWidth="1"/>
    <col min="1271" max="1271" width="46" bestFit="1" customWidth="1"/>
    <col min="1272" max="1272" width="15" bestFit="1" customWidth="1"/>
    <col min="1273" max="1273" width="21" bestFit="1" customWidth="1"/>
    <col min="1527" max="1527" width="46" bestFit="1" customWidth="1"/>
    <col min="1528" max="1528" width="15" bestFit="1" customWidth="1"/>
    <col min="1529" max="1529" width="21" bestFit="1" customWidth="1"/>
    <col min="1783" max="1783" width="46" bestFit="1" customWidth="1"/>
    <col min="1784" max="1784" width="15" bestFit="1" customWidth="1"/>
    <col min="1785" max="1785" width="21" bestFit="1" customWidth="1"/>
    <col min="2039" max="2039" width="46" bestFit="1" customWidth="1"/>
    <col min="2040" max="2040" width="15" bestFit="1" customWidth="1"/>
    <col min="2041" max="2041" width="21" bestFit="1" customWidth="1"/>
    <col min="2295" max="2295" width="46" bestFit="1" customWidth="1"/>
    <col min="2296" max="2296" width="15" bestFit="1" customWidth="1"/>
    <col min="2297" max="2297" width="21" bestFit="1" customWidth="1"/>
    <col min="2551" max="2551" width="46" bestFit="1" customWidth="1"/>
    <col min="2552" max="2552" width="15" bestFit="1" customWidth="1"/>
    <col min="2553" max="2553" width="21" bestFit="1" customWidth="1"/>
    <col min="2807" max="2807" width="46" bestFit="1" customWidth="1"/>
    <col min="2808" max="2808" width="15" bestFit="1" customWidth="1"/>
    <col min="2809" max="2809" width="21" bestFit="1" customWidth="1"/>
    <col min="3063" max="3063" width="46" bestFit="1" customWidth="1"/>
    <col min="3064" max="3064" width="15" bestFit="1" customWidth="1"/>
    <col min="3065" max="3065" width="21" bestFit="1" customWidth="1"/>
    <col min="3319" max="3319" width="46" bestFit="1" customWidth="1"/>
    <col min="3320" max="3320" width="15" bestFit="1" customWidth="1"/>
    <col min="3321" max="3321" width="21" bestFit="1" customWidth="1"/>
    <col min="3575" max="3575" width="46" bestFit="1" customWidth="1"/>
    <col min="3576" max="3576" width="15" bestFit="1" customWidth="1"/>
    <col min="3577" max="3577" width="21" bestFit="1" customWidth="1"/>
    <col min="3831" max="3831" width="46" bestFit="1" customWidth="1"/>
    <col min="3832" max="3832" width="15" bestFit="1" customWidth="1"/>
    <col min="3833" max="3833" width="21" bestFit="1" customWidth="1"/>
    <col min="4087" max="4087" width="46" bestFit="1" customWidth="1"/>
    <col min="4088" max="4088" width="15" bestFit="1" customWidth="1"/>
    <col min="4089" max="4089" width="21" bestFit="1" customWidth="1"/>
    <col min="4343" max="4343" width="46" bestFit="1" customWidth="1"/>
    <col min="4344" max="4344" width="15" bestFit="1" customWidth="1"/>
    <col min="4345" max="4345" width="21" bestFit="1" customWidth="1"/>
    <col min="4599" max="4599" width="46" bestFit="1" customWidth="1"/>
    <col min="4600" max="4600" width="15" bestFit="1" customWidth="1"/>
    <col min="4601" max="4601" width="21" bestFit="1" customWidth="1"/>
    <col min="4855" max="4855" width="46" bestFit="1" customWidth="1"/>
    <col min="4856" max="4856" width="15" bestFit="1" customWidth="1"/>
    <col min="4857" max="4857" width="21" bestFit="1" customWidth="1"/>
    <col min="5111" max="5111" width="46" bestFit="1" customWidth="1"/>
    <col min="5112" max="5112" width="15" bestFit="1" customWidth="1"/>
    <col min="5113" max="5113" width="21" bestFit="1" customWidth="1"/>
    <col min="5367" max="5367" width="46" bestFit="1" customWidth="1"/>
    <col min="5368" max="5368" width="15" bestFit="1" customWidth="1"/>
    <col min="5369" max="5369" width="21" bestFit="1" customWidth="1"/>
    <col min="5623" max="5623" width="46" bestFit="1" customWidth="1"/>
    <col min="5624" max="5624" width="15" bestFit="1" customWidth="1"/>
    <col min="5625" max="5625" width="21" bestFit="1" customWidth="1"/>
    <col min="5879" max="5879" width="46" bestFit="1" customWidth="1"/>
    <col min="5880" max="5880" width="15" bestFit="1" customWidth="1"/>
    <col min="5881" max="5881" width="21" bestFit="1" customWidth="1"/>
    <col min="6135" max="6135" width="46" bestFit="1" customWidth="1"/>
    <col min="6136" max="6136" width="15" bestFit="1" customWidth="1"/>
    <col min="6137" max="6137" width="21" bestFit="1" customWidth="1"/>
    <col min="6391" max="6391" width="46" bestFit="1" customWidth="1"/>
    <col min="6392" max="6392" width="15" bestFit="1" customWidth="1"/>
    <col min="6393" max="6393" width="21" bestFit="1" customWidth="1"/>
    <col min="6647" max="6647" width="46" bestFit="1" customWidth="1"/>
    <col min="6648" max="6648" width="15" bestFit="1" customWidth="1"/>
    <col min="6649" max="6649" width="21" bestFit="1" customWidth="1"/>
    <col min="6903" max="6903" width="46" bestFit="1" customWidth="1"/>
    <col min="6904" max="6904" width="15" bestFit="1" customWidth="1"/>
    <col min="6905" max="6905" width="21" bestFit="1" customWidth="1"/>
    <col min="7159" max="7159" width="46" bestFit="1" customWidth="1"/>
    <col min="7160" max="7160" width="15" bestFit="1" customWidth="1"/>
    <col min="7161" max="7161" width="21" bestFit="1" customWidth="1"/>
    <col min="7415" max="7415" width="46" bestFit="1" customWidth="1"/>
    <col min="7416" max="7416" width="15" bestFit="1" customWidth="1"/>
    <col min="7417" max="7417" width="21" bestFit="1" customWidth="1"/>
    <col min="7671" max="7671" width="46" bestFit="1" customWidth="1"/>
    <col min="7672" max="7672" width="15" bestFit="1" customWidth="1"/>
    <col min="7673" max="7673" width="21" bestFit="1" customWidth="1"/>
    <col min="7927" max="7927" width="46" bestFit="1" customWidth="1"/>
    <col min="7928" max="7928" width="15" bestFit="1" customWidth="1"/>
    <col min="7929" max="7929" width="21" bestFit="1" customWidth="1"/>
    <col min="8183" max="8183" width="46" bestFit="1" customWidth="1"/>
    <col min="8184" max="8184" width="15" bestFit="1" customWidth="1"/>
    <col min="8185" max="8185" width="21" bestFit="1" customWidth="1"/>
    <col min="8439" max="8439" width="46" bestFit="1" customWidth="1"/>
    <col min="8440" max="8440" width="15" bestFit="1" customWidth="1"/>
    <col min="8441" max="8441" width="21" bestFit="1" customWidth="1"/>
    <col min="8695" max="8695" width="46" bestFit="1" customWidth="1"/>
    <col min="8696" max="8696" width="15" bestFit="1" customWidth="1"/>
    <col min="8697" max="8697" width="21" bestFit="1" customWidth="1"/>
    <col min="8951" max="8951" width="46" bestFit="1" customWidth="1"/>
    <col min="8952" max="8952" width="15" bestFit="1" customWidth="1"/>
    <col min="8953" max="8953" width="21" bestFit="1" customWidth="1"/>
    <col min="9207" max="9207" width="46" bestFit="1" customWidth="1"/>
    <col min="9208" max="9208" width="15" bestFit="1" customWidth="1"/>
    <col min="9209" max="9209" width="21" bestFit="1" customWidth="1"/>
    <col min="9463" max="9463" width="46" bestFit="1" customWidth="1"/>
    <col min="9464" max="9464" width="15" bestFit="1" customWidth="1"/>
    <col min="9465" max="9465" width="21" bestFit="1" customWidth="1"/>
    <col min="9719" max="9719" width="46" bestFit="1" customWidth="1"/>
    <col min="9720" max="9720" width="15" bestFit="1" customWidth="1"/>
    <col min="9721" max="9721" width="21" bestFit="1" customWidth="1"/>
    <col min="9975" max="9975" width="46" bestFit="1" customWidth="1"/>
    <col min="9976" max="9976" width="15" bestFit="1" customWidth="1"/>
    <col min="9977" max="9977" width="21" bestFit="1" customWidth="1"/>
    <col min="10231" max="10231" width="46" bestFit="1" customWidth="1"/>
    <col min="10232" max="10232" width="15" bestFit="1" customWidth="1"/>
    <col min="10233" max="10233" width="21" bestFit="1" customWidth="1"/>
    <col min="10487" max="10487" width="46" bestFit="1" customWidth="1"/>
    <col min="10488" max="10488" width="15" bestFit="1" customWidth="1"/>
    <col min="10489" max="10489" width="21" bestFit="1" customWidth="1"/>
    <col min="10743" max="10743" width="46" bestFit="1" customWidth="1"/>
    <col min="10744" max="10744" width="15" bestFit="1" customWidth="1"/>
    <col min="10745" max="10745" width="21" bestFit="1" customWidth="1"/>
    <col min="10999" max="10999" width="46" bestFit="1" customWidth="1"/>
    <col min="11000" max="11000" width="15" bestFit="1" customWidth="1"/>
    <col min="11001" max="11001" width="21" bestFit="1" customWidth="1"/>
    <col min="11255" max="11255" width="46" bestFit="1" customWidth="1"/>
    <col min="11256" max="11256" width="15" bestFit="1" customWidth="1"/>
    <col min="11257" max="11257" width="21" bestFit="1" customWidth="1"/>
    <col min="11511" max="11511" width="46" bestFit="1" customWidth="1"/>
    <col min="11512" max="11512" width="15" bestFit="1" customWidth="1"/>
    <col min="11513" max="11513" width="21" bestFit="1" customWidth="1"/>
    <col min="11767" max="11767" width="46" bestFit="1" customWidth="1"/>
    <col min="11768" max="11768" width="15" bestFit="1" customWidth="1"/>
    <col min="11769" max="11769" width="21" bestFit="1" customWidth="1"/>
    <col min="12023" max="12023" width="46" bestFit="1" customWidth="1"/>
    <col min="12024" max="12024" width="15" bestFit="1" customWidth="1"/>
    <col min="12025" max="12025" width="21" bestFit="1" customWidth="1"/>
    <col min="12279" max="12279" width="46" bestFit="1" customWidth="1"/>
    <col min="12280" max="12280" width="15" bestFit="1" customWidth="1"/>
    <col min="12281" max="12281" width="21" bestFit="1" customWidth="1"/>
    <col min="12535" max="12535" width="46" bestFit="1" customWidth="1"/>
    <col min="12536" max="12536" width="15" bestFit="1" customWidth="1"/>
    <col min="12537" max="12537" width="21" bestFit="1" customWidth="1"/>
    <col min="12791" max="12791" width="46" bestFit="1" customWidth="1"/>
    <col min="12792" max="12792" width="15" bestFit="1" customWidth="1"/>
    <col min="12793" max="12793" width="21" bestFit="1" customWidth="1"/>
    <col min="13047" max="13047" width="46" bestFit="1" customWidth="1"/>
    <col min="13048" max="13048" width="15" bestFit="1" customWidth="1"/>
    <col min="13049" max="13049" width="21" bestFit="1" customWidth="1"/>
    <col min="13303" max="13303" width="46" bestFit="1" customWidth="1"/>
    <col min="13304" max="13304" width="15" bestFit="1" customWidth="1"/>
    <col min="13305" max="13305" width="21" bestFit="1" customWidth="1"/>
    <col min="13559" max="13559" width="46" bestFit="1" customWidth="1"/>
    <col min="13560" max="13560" width="15" bestFit="1" customWidth="1"/>
    <col min="13561" max="13561" width="21" bestFit="1" customWidth="1"/>
    <col min="13815" max="13815" width="46" bestFit="1" customWidth="1"/>
    <col min="13816" max="13816" width="15" bestFit="1" customWidth="1"/>
    <col min="13817" max="13817" width="21" bestFit="1" customWidth="1"/>
    <col min="14071" max="14071" width="46" bestFit="1" customWidth="1"/>
    <col min="14072" max="14072" width="15" bestFit="1" customWidth="1"/>
    <col min="14073" max="14073" width="21" bestFit="1" customWidth="1"/>
    <col min="14327" max="14327" width="46" bestFit="1" customWidth="1"/>
    <col min="14328" max="14328" width="15" bestFit="1" customWidth="1"/>
    <col min="14329" max="14329" width="21" bestFit="1" customWidth="1"/>
    <col min="14583" max="14583" width="46" bestFit="1" customWidth="1"/>
    <col min="14584" max="14584" width="15" bestFit="1" customWidth="1"/>
    <col min="14585" max="14585" width="21" bestFit="1" customWidth="1"/>
    <col min="14839" max="14839" width="46" bestFit="1" customWidth="1"/>
    <col min="14840" max="14840" width="15" bestFit="1" customWidth="1"/>
    <col min="14841" max="14841" width="21" bestFit="1" customWidth="1"/>
    <col min="15095" max="15095" width="46" bestFit="1" customWidth="1"/>
    <col min="15096" max="15096" width="15" bestFit="1" customWidth="1"/>
    <col min="15097" max="15097" width="21" bestFit="1" customWidth="1"/>
    <col min="15351" max="15351" width="46" bestFit="1" customWidth="1"/>
    <col min="15352" max="15352" width="15" bestFit="1" customWidth="1"/>
    <col min="15353" max="15353" width="21" bestFit="1" customWidth="1"/>
    <col min="15607" max="15607" width="46" bestFit="1" customWidth="1"/>
    <col min="15608" max="15608" width="15" bestFit="1" customWidth="1"/>
    <col min="15609" max="15609" width="21" bestFit="1" customWidth="1"/>
    <col min="15863" max="15863" width="46" bestFit="1" customWidth="1"/>
    <col min="15864" max="15864" width="15" bestFit="1" customWidth="1"/>
    <col min="15865" max="15865" width="21" bestFit="1" customWidth="1"/>
    <col min="16119" max="16119" width="46" bestFit="1" customWidth="1"/>
    <col min="16120" max="16120" width="15" bestFit="1" customWidth="1"/>
    <col min="16121" max="16121" width="21" bestFit="1" customWidth="1"/>
  </cols>
  <sheetData>
    <row r="1" spans="1:2" x14ac:dyDescent="0.25">
      <c r="A1" s="22" t="s">
        <v>189</v>
      </c>
    </row>
    <row r="2" spans="1:2" x14ac:dyDescent="0.25">
      <c r="A2" s="22" t="s">
        <v>139</v>
      </c>
    </row>
    <row r="3" spans="1:2" x14ac:dyDescent="0.25">
      <c r="A3" s="35"/>
    </row>
    <row r="4" spans="1:2" x14ac:dyDescent="0.25">
      <c r="A4" s="35">
        <f>+'Patriot PR Details RPT FY 25-26'!J12+'Patriot PR Details RPT FY 25-26'!K12+'Patriot PR Details RPT FY 25-26'!C12+'Patriot PR Details RPT FY 25-26'!D12</f>
        <v>10126.799999999999</v>
      </c>
      <c r="B4" t="s">
        <v>383</v>
      </c>
    </row>
    <row r="5" spans="1:2" x14ac:dyDescent="0.25">
      <c r="A5" s="35">
        <f>+'FNB Payroll Acct. Rollforward'!E44</f>
        <v>10126.740000000002</v>
      </c>
      <c r="B5" t="s">
        <v>140</v>
      </c>
    </row>
    <row r="6" spans="1:2" ht="15.75" thickBot="1" x14ac:dyDescent="0.3">
      <c r="A6" s="104">
        <f>+A4-A5</f>
        <v>5.9999999997671694E-2</v>
      </c>
      <c r="B6" t="s">
        <v>90</v>
      </c>
    </row>
    <row r="7" spans="1:2" ht="15.75" thickTop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6503-3CA0-4AA3-975C-3551048A9226}">
  <sheetPr>
    <tabColor theme="8" tint="0.59999389629810485"/>
  </sheetPr>
  <dimension ref="A1:N15"/>
  <sheetViews>
    <sheetView topLeftCell="A2" workbookViewId="0">
      <selection activeCell="H16" sqref="H16"/>
    </sheetView>
  </sheetViews>
  <sheetFormatPr defaultRowHeight="15" x14ac:dyDescent="0.25"/>
  <cols>
    <col min="1" max="1" width="11.42578125" customWidth="1"/>
    <col min="2" max="14" width="10.7109375" customWidth="1"/>
  </cols>
  <sheetData>
    <row r="1" spans="1:14" x14ac:dyDescent="0.25">
      <c r="A1" s="22" t="s">
        <v>122</v>
      </c>
    </row>
    <row r="2" spans="1:14" x14ac:dyDescent="0.25">
      <c r="A2" s="22" t="s">
        <v>123</v>
      </c>
    </row>
    <row r="3" spans="1:14" x14ac:dyDescent="0.25">
      <c r="A3" s="108" t="s">
        <v>203</v>
      </c>
      <c r="B3" s="106"/>
      <c r="C3" s="106"/>
    </row>
    <row r="4" spans="1:14" x14ac:dyDescent="0.25">
      <c r="A4" s="108" t="s">
        <v>373</v>
      </c>
      <c r="B4" s="106"/>
      <c r="C4" s="106"/>
    </row>
    <row r="5" spans="1:14" x14ac:dyDescent="0.25">
      <c r="A5" s="22" t="s">
        <v>374</v>
      </c>
    </row>
    <row r="6" spans="1:14" x14ac:dyDescent="0.25">
      <c r="A6" s="22" t="s">
        <v>124</v>
      </c>
    </row>
    <row r="7" spans="1:14" x14ac:dyDescent="0.25">
      <c r="A7" s="22" t="s">
        <v>125</v>
      </c>
    </row>
    <row r="8" spans="1:14" x14ac:dyDescent="0.25">
      <c r="A8" s="22" t="s">
        <v>126</v>
      </c>
    </row>
    <row r="9" spans="1:14" x14ac:dyDescent="0.25">
      <c r="A9" s="22" t="s">
        <v>145</v>
      </c>
    </row>
    <row r="11" spans="1:14" s="107" customFormat="1" ht="90" x14ac:dyDescent="0.25">
      <c r="A11" s="107" t="s">
        <v>127</v>
      </c>
      <c r="B11" s="107" t="s">
        <v>128</v>
      </c>
      <c r="C11" s="107" t="s">
        <v>129</v>
      </c>
      <c r="D11" s="107" t="s">
        <v>130</v>
      </c>
      <c r="E11" s="107" t="s">
        <v>131</v>
      </c>
      <c r="F11" s="107" t="s">
        <v>132</v>
      </c>
      <c r="G11" s="107" t="s">
        <v>133</v>
      </c>
      <c r="H11" s="107" t="s">
        <v>134</v>
      </c>
      <c r="I11" s="107" t="s">
        <v>135</v>
      </c>
      <c r="J11" s="107" t="s">
        <v>129</v>
      </c>
      <c r="K11" s="107" t="s">
        <v>130</v>
      </c>
      <c r="L11" s="107" t="s">
        <v>136</v>
      </c>
      <c r="M11" s="107" t="s">
        <v>137</v>
      </c>
      <c r="N11" s="107" t="s">
        <v>138</v>
      </c>
    </row>
    <row r="12" spans="1:14" x14ac:dyDescent="0.25">
      <c r="A12" s="103">
        <v>35000.04</v>
      </c>
      <c r="B12" s="103">
        <v>35000.04</v>
      </c>
      <c r="C12" s="103">
        <v>4663.4399999999996</v>
      </c>
      <c r="D12" s="103">
        <v>52.8</v>
      </c>
      <c r="E12" s="103">
        <v>5414.76</v>
      </c>
      <c r="F12" s="103">
        <v>439.12</v>
      </c>
      <c r="G12" s="103">
        <v>984</v>
      </c>
      <c r="H12" s="103">
        <v>1877.6</v>
      </c>
      <c r="I12" s="103">
        <v>21568.32</v>
      </c>
      <c r="J12" s="103">
        <v>5357.76</v>
      </c>
      <c r="K12" s="103">
        <v>52.8</v>
      </c>
      <c r="L12" s="103">
        <v>439.12</v>
      </c>
      <c r="M12" s="103">
        <v>1877.6</v>
      </c>
      <c r="N12" s="103">
        <v>61.67</v>
      </c>
    </row>
    <row r="15" spans="1:14" x14ac:dyDescent="0.25">
      <c r="A15" s="64" t="s">
        <v>142</v>
      </c>
      <c r="B15" s="64"/>
      <c r="C15" s="105">
        <f>+B12+J12+K12+L12+M12+N12</f>
        <v>42788.990000000005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2B5F-C7A9-4167-90C9-FDE91A749135}">
  <sheetPr>
    <tabColor theme="8" tint="0.59999389629810485"/>
  </sheetPr>
  <dimension ref="A1:F47"/>
  <sheetViews>
    <sheetView workbookViewId="0">
      <pane ySplit="2" topLeftCell="A17" activePane="bottomLeft" state="frozen"/>
      <selection activeCell="H16" sqref="H16"/>
      <selection pane="bottomLeft" activeCell="H16" sqref="H16"/>
    </sheetView>
  </sheetViews>
  <sheetFormatPr defaultRowHeight="15" x14ac:dyDescent="0.25"/>
  <cols>
    <col min="1" max="1" width="10.7109375" style="18" bestFit="1" customWidth="1"/>
    <col min="2" max="2" width="4.140625" bestFit="1" customWidth="1"/>
    <col min="3" max="3" width="73.42578125" bestFit="1" customWidth="1"/>
    <col min="4" max="6" width="9.85546875" style="30" bestFit="1" customWidth="1"/>
  </cols>
  <sheetData>
    <row r="1" spans="1:6" x14ac:dyDescent="0.25">
      <c r="A1" s="29" t="s">
        <v>230</v>
      </c>
    </row>
    <row r="2" spans="1:6" x14ac:dyDescent="0.25">
      <c r="A2" s="135" t="s">
        <v>33</v>
      </c>
      <c r="B2" s="22" t="s">
        <v>86</v>
      </c>
      <c r="C2" s="22" t="s">
        <v>34</v>
      </c>
      <c r="D2" s="23" t="s">
        <v>36</v>
      </c>
      <c r="E2" s="23" t="s">
        <v>37</v>
      </c>
      <c r="F2" s="23" t="s">
        <v>46</v>
      </c>
    </row>
    <row r="3" spans="1:6" x14ac:dyDescent="0.25">
      <c r="A3" s="18">
        <v>45839</v>
      </c>
      <c r="C3" t="s">
        <v>88</v>
      </c>
      <c r="F3" s="30">
        <v>16810.309999999994</v>
      </c>
    </row>
    <row r="4" spans="1:6" x14ac:dyDescent="0.25">
      <c r="A4" s="63">
        <v>45841</v>
      </c>
      <c r="B4" s="64"/>
      <c r="C4" s="64" t="s">
        <v>190</v>
      </c>
      <c r="D4" s="65"/>
      <c r="E4" s="65">
        <v>1687.79</v>
      </c>
      <c r="F4" s="30">
        <f t="shared" ref="F4:F42" si="0">+F3+D4-E4</f>
        <v>15122.519999999993</v>
      </c>
    </row>
    <row r="5" spans="1:6" x14ac:dyDescent="0.25">
      <c r="A5" s="18">
        <v>45848</v>
      </c>
      <c r="C5" t="s">
        <v>191</v>
      </c>
      <c r="E5" s="30">
        <v>1797.36</v>
      </c>
      <c r="F5" s="30">
        <f t="shared" si="0"/>
        <v>13325.159999999993</v>
      </c>
    </row>
    <row r="6" spans="1:6" x14ac:dyDescent="0.25">
      <c r="A6" s="18">
        <v>45849</v>
      </c>
      <c r="C6" t="s">
        <v>192</v>
      </c>
      <c r="E6" s="30">
        <v>123.91</v>
      </c>
      <c r="F6" s="30">
        <f t="shared" si="0"/>
        <v>13201.249999999993</v>
      </c>
    </row>
    <row r="7" spans="1:6" x14ac:dyDescent="0.25">
      <c r="A7" s="18">
        <v>45853</v>
      </c>
      <c r="C7" t="s">
        <v>193</v>
      </c>
      <c r="E7" s="30">
        <v>1529.08</v>
      </c>
      <c r="F7" s="30">
        <f t="shared" si="0"/>
        <v>11672.169999999993</v>
      </c>
    </row>
    <row r="8" spans="1:6" x14ac:dyDescent="0.25">
      <c r="A8" s="18">
        <v>45853</v>
      </c>
      <c r="C8" t="s">
        <v>194</v>
      </c>
      <c r="E8" s="30">
        <v>426</v>
      </c>
      <c r="F8" s="30">
        <f t="shared" si="0"/>
        <v>11246.169999999993</v>
      </c>
    </row>
    <row r="9" spans="1:6" x14ac:dyDescent="0.25">
      <c r="A9" s="18">
        <v>45866</v>
      </c>
      <c r="C9" t="s">
        <v>195</v>
      </c>
      <c r="E9" s="30">
        <v>1797.36</v>
      </c>
      <c r="F9" s="30">
        <f t="shared" si="0"/>
        <v>9448.8099999999922</v>
      </c>
    </row>
    <row r="10" spans="1:6" x14ac:dyDescent="0.25">
      <c r="A10" s="18">
        <v>45870</v>
      </c>
      <c r="C10" t="s">
        <v>196</v>
      </c>
      <c r="E10" s="30">
        <v>1000</v>
      </c>
      <c r="F10" s="30">
        <f t="shared" si="0"/>
        <v>8448.8099999999922</v>
      </c>
    </row>
    <row r="11" spans="1:6" x14ac:dyDescent="0.25">
      <c r="A11" s="63">
        <v>45874</v>
      </c>
      <c r="B11" s="64"/>
      <c r="C11" s="64" t="s">
        <v>197</v>
      </c>
      <c r="D11" s="65"/>
      <c r="E11" s="65">
        <v>1687.79</v>
      </c>
      <c r="F11" s="30">
        <f t="shared" si="0"/>
        <v>6761.0199999999923</v>
      </c>
    </row>
    <row r="12" spans="1:6" x14ac:dyDescent="0.25">
      <c r="A12" s="18">
        <v>45881</v>
      </c>
      <c r="C12" t="s">
        <v>198</v>
      </c>
      <c r="E12" s="30">
        <v>1797.36</v>
      </c>
      <c r="F12" s="30">
        <f t="shared" si="0"/>
        <v>4963.6599999999926</v>
      </c>
    </row>
    <row r="13" spans="1:6" x14ac:dyDescent="0.25">
      <c r="A13" s="18">
        <v>45884</v>
      </c>
      <c r="C13" t="s">
        <v>87</v>
      </c>
      <c r="D13" s="30">
        <v>21780.75</v>
      </c>
      <c r="F13" s="30">
        <f t="shared" si="0"/>
        <v>26744.409999999993</v>
      </c>
    </row>
    <row r="14" spans="1:6" x14ac:dyDescent="0.25">
      <c r="A14" s="18">
        <v>45884</v>
      </c>
      <c r="C14" t="s">
        <v>199</v>
      </c>
      <c r="E14" s="30">
        <v>1674.7</v>
      </c>
      <c r="F14" s="30">
        <f t="shared" si="0"/>
        <v>25069.709999999992</v>
      </c>
    </row>
    <row r="15" spans="1:6" x14ac:dyDescent="0.25">
      <c r="A15" s="18">
        <v>45889</v>
      </c>
      <c r="C15" t="s">
        <v>200</v>
      </c>
      <c r="E15" s="30">
        <v>1000</v>
      </c>
      <c r="F15" s="30">
        <f t="shared" si="0"/>
        <v>24069.709999999992</v>
      </c>
    </row>
    <row r="16" spans="1:6" x14ac:dyDescent="0.25">
      <c r="A16" s="18">
        <v>45895</v>
      </c>
      <c r="C16" t="s">
        <v>201</v>
      </c>
      <c r="E16" s="30">
        <v>1797.36</v>
      </c>
      <c r="F16" s="30">
        <f t="shared" si="0"/>
        <v>22272.349999999991</v>
      </c>
    </row>
    <row r="17" spans="1:6" x14ac:dyDescent="0.25">
      <c r="A17" s="18">
        <v>45898</v>
      </c>
      <c r="C17" t="s">
        <v>202</v>
      </c>
      <c r="E17" s="30">
        <v>1000</v>
      </c>
      <c r="F17" s="30">
        <f t="shared" si="0"/>
        <v>21272.349999999991</v>
      </c>
    </row>
    <row r="18" spans="1:6" x14ac:dyDescent="0.25">
      <c r="A18" s="136">
        <v>45902</v>
      </c>
      <c r="B18" s="137"/>
      <c r="C18" s="137" t="s">
        <v>295</v>
      </c>
      <c r="D18" s="138"/>
      <c r="E18" s="138">
        <v>616.44000000000005</v>
      </c>
      <c r="F18" s="30">
        <f t="shared" si="0"/>
        <v>20655.909999999993</v>
      </c>
    </row>
    <row r="19" spans="1:6" x14ac:dyDescent="0.25">
      <c r="A19" s="63">
        <v>45903</v>
      </c>
      <c r="B19" s="64"/>
      <c r="C19" s="64" t="s">
        <v>289</v>
      </c>
      <c r="D19" s="65"/>
      <c r="E19" s="65">
        <v>1687.79</v>
      </c>
      <c r="F19" s="30">
        <f t="shared" si="0"/>
        <v>18968.119999999992</v>
      </c>
    </row>
    <row r="20" spans="1:6" x14ac:dyDescent="0.25">
      <c r="A20" s="139">
        <v>45908</v>
      </c>
      <c r="C20" t="s">
        <v>290</v>
      </c>
      <c r="E20" s="30">
        <v>2000</v>
      </c>
      <c r="F20" s="30">
        <f t="shared" si="0"/>
        <v>16968.119999999992</v>
      </c>
    </row>
    <row r="21" spans="1:6" x14ac:dyDescent="0.25">
      <c r="A21" s="139">
        <v>45910</v>
      </c>
      <c r="C21" t="s">
        <v>291</v>
      </c>
      <c r="E21" s="30">
        <v>1797.36</v>
      </c>
      <c r="F21" s="30">
        <f t="shared" si="0"/>
        <v>15170.759999999991</v>
      </c>
    </row>
    <row r="22" spans="1:6" x14ac:dyDescent="0.25">
      <c r="A22" s="139">
        <v>45915</v>
      </c>
      <c r="C22" t="s">
        <v>292</v>
      </c>
      <c r="E22" s="30">
        <v>1674.7</v>
      </c>
      <c r="F22" s="30">
        <f t="shared" si="0"/>
        <v>13496.05999999999</v>
      </c>
    </row>
    <row r="23" spans="1:6" x14ac:dyDescent="0.25">
      <c r="A23" s="139">
        <v>45925</v>
      </c>
      <c r="C23" t="s">
        <v>293</v>
      </c>
      <c r="E23" s="30">
        <v>1797.36</v>
      </c>
      <c r="F23" s="30">
        <f t="shared" si="0"/>
        <v>11698.69999999999</v>
      </c>
    </row>
    <row r="24" spans="1:6" x14ac:dyDescent="0.25">
      <c r="A24" s="139">
        <v>45929</v>
      </c>
      <c r="C24" t="s">
        <v>294</v>
      </c>
      <c r="D24" s="30">
        <v>5000</v>
      </c>
      <c r="F24" s="30">
        <f t="shared" si="0"/>
        <v>16698.69999999999</v>
      </c>
    </row>
    <row r="25" spans="1:6" x14ac:dyDescent="0.25">
      <c r="A25" s="139">
        <v>45931</v>
      </c>
      <c r="C25" t="s">
        <v>297</v>
      </c>
      <c r="E25" s="30">
        <v>1674.7</v>
      </c>
      <c r="F25" s="30">
        <f t="shared" si="0"/>
        <v>15023.999999999989</v>
      </c>
    </row>
    <row r="26" spans="1:6" x14ac:dyDescent="0.25">
      <c r="A26" s="139">
        <v>45932</v>
      </c>
      <c r="C26" t="s">
        <v>298</v>
      </c>
      <c r="E26" s="30">
        <v>492</v>
      </c>
      <c r="F26" s="30">
        <f t="shared" si="0"/>
        <v>14531.999999999989</v>
      </c>
    </row>
    <row r="27" spans="1:6" x14ac:dyDescent="0.25">
      <c r="A27" s="139">
        <v>45932</v>
      </c>
      <c r="C27" t="s">
        <v>299</v>
      </c>
      <c r="E27" s="30">
        <v>61.68</v>
      </c>
      <c r="F27" s="30">
        <f t="shared" si="0"/>
        <v>14470.319999999989</v>
      </c>
    </row>
    <row r="28" spans="1:6" x14ac:dyDescent="0.25">
      <c r="A28" s="140">
        <v>45936</v>
      </c>
      <c r="B28" s="64"/>
      <c r="C28" s="64" t="s">
        <v>300</v>
      </c>
      <c r="D28" s="65"/>
      <c r="E28" s="65">
        <v>1687.79</v>
      </c>
      <c r="F28" s="30">
        <f t="shared" si="0"/>
        <v>12782.529999999988</v>
      </c>
    </row>
    <row r="29" spans="1:6" x14ac:dyDescent="0.25">
      <c r="A29" s="139">
        <v>45939</v>
      </c>
      <c r="C29" t="s">
        <v>301</v>
      </c>
      <c r="E29" s="30">
        <v>1797.36</v>
      </c>
      <c r="F29" s="30">
        <f t="shared" si="0"/>
        <v>10985.169999999987</v>
      </c>
    </row>
    <row r="30" spans="1:6" x14ac:dyDescent="0.25">
      <c r="A30" s="139">
        <v>45950</v>
      </c>
      <c r="C30" t="s">
        <v>302</v>
      </c>
      <c r="D30" s="30">
        <v>21780.75</v>
      </c>
      <c r="F30" s="30">
        <f t="shared" si="0"/>
        <v>32765.919999999987</v>
      </c>
    </row>
    <row r="31" spans="1:6" x14ac:dyDescent="0.25">
      <c r="A31" s="139">
        <v>45958</v>
      </c>
      <c r="C31" t="s">
        <v>303</v>
      </c>
      <c r="E31" s="30">
        <v>1797.37</v>
      </c>
      <c r="F31" s="30">
        <f t="shared" si="0"/>
        <v>30968.549999999988</v>
      </c>
    </row>
    <row r="32" spans="1:6" x14ac:dyDescent="0.25">
      <c r="A32" s="139">
        <v>45964</v>
      </c>
      <c r="C32" t="s">
        <v>334</v>
      </c>
      <c r="E32" s="30">
        <v>1674.68</v>
      </c>
      <c r="F32" s="30">
        <f t="shared" si="0"/>
        <v>29293.869999999988</v>
      </c>
    </row>
    <row r="33" spans="1:6" x14ac:dyDescent="0.25">
      <c r="A33" s="140">
        <v>45965</v>
      </c>
      <c r="B33" s="64"/>
      <c r="C33" s="64" t="s">
        <v>335</v>
      </c>
      <c r="D33" s="65"/>
      <c r="E33" s="65">
        <v>1687.79</v>
      </c>
      <c r="F33" s="30">
        <f t="shared" si="0"/>
        <v>27606.079999999987</v>
      </c>
    </row>
    <row r="34" spans="1:6" x14ac:dyDescent="0.25">
      <c r="A34" s="139">
        <v>45971</v>
      </c>
      <c r="C34" t="s">
        <v>336</v>
      </c>
      <c r="E34" s="30">
        <v>1797.35</v>
      </c>
      <c r="F34" s="30">
        <f t="shared" si="0"/>
        <v>25808.729999999989</v>
      </c>
    </row>
    <row r="35" spans="1:6" x14ac:dyDescent="0.25">
      <c r="A35" s="139">
        <v>45973</v>
      </c>
      <c r="C35" t="s">
        <v>337</v>
      </c>
      <c r="E35" s="30">
        <v>1000</v>
      </c>
      <c r="F35" s="30">
        <f t="shared" si="0"/>
        <v>24808.729999999989</v>
      </c>
    </row>
    <row r="36" spans="1:6" x14ac:dyDescent="0.25">
      <c r="A36" s="139">
        <v>45985</v>
      </c>
      <c r="C36" t="s">
        <v>338</v>
      </c>
      <c r="E36" s="30">
        <v>1797.37</v>
      </c>
      <c r="F36" s="30">
        <f t="shared" si="0"/>
        <v>23011.35999999999</v>
      </c>
    </row>
    <row r="37" spans="1:6" x14ac:dyDescent="0.25">
      <c r="A37" s="139">
        <v>45992</v>
      </c>
      <c r="C37" t="s">
        <v>366</v>
      </c>
      <c r="D37" s="30">
        <v>1000</v>
      </c>
      <c r="F37" s="30">
        <f t="shared" si="0"/>
        <v>24011.35999999999</v>
      </c>
    </row>
    <row r="38" spans="1:6" x14ac:dyDescent="0.25">
      <c r="A38" s="139">
        <v>45993</v>
      </c>
      <c r="C38" t="s">
        <v>367</v>
      </c>
      <c r="E38" s="30">
        <v>1674.7</v>
      </c>
      <c r="F38" s="30">
        <f t="shared" si="0"/>
        <v>22336.659999999989</v>
      </c>
    </row>
    <row r="39" spans="1:6" x14ac:dyDescent="0.25">
      <c r="A39" s="140">
        <v>45994</v>
      </c>
      <c r="B39" s="64"/>
      <c r="C39" s="64" t="s">
        <v>368</v>
      </c>
      <c r="D39" s="65"/>
      <c r="E39" s="65">
        <v>1687.79</v>
      </c>
      <c r="F39" s="30">
        <f t="shared" si="0"/>
        <v>20648.869999999988</v>
      </c>
    </row>
    <row r="40" spans="1:6" x14ac:dyDescent="0.25">
      <c r="A40" s="139">
        <v>46001</v>
      </c>
      <c r="C40" t="s">
        <v>369</v>
      </c>
      <c r="E40" s="30">
        <v>1797.36</v>
      </c>
      <c r="F40" s="30">
        <f t="shared" si="0"/>
        <v>18851.509999999987</v>
      </c>
    </row>
    <row r="41" spans="1:6" x14ac:dyDescent="0.25">
      <c r="A41" s="139">
        <v>46017</v>
      </c>
      <c r="C41" t="s">
        <v>370</v>
      </c>
      <c r="E41" s="30">
        <v>1797.35</v>
      </c>
      <c r="F41" s="30">
        <f t="shared" si="0"/>
        <v>17054.159999999989</v>
      </c>
    </row>
    <row r="42" spans="1:6" x14ac:dyDescent="0.25">
      <c r="F42" s="30">
        <f t="shared" si="0"/>
        <v>17054.159999999989</v>
      </c>
    </row>
    <row r="44" spans="1:6" x14ac:dyDescent="0.25">
      <c r="C44" s="82"/>
      <c r="D44" s="82" t="s">
        <v>89</v>
      </c>
      <c r="E44" s="66">
        <f>+E4+E11+E19+E28+E33+E39</f>
        <v>10126.740000000002</v>
      </c>
    </row>
    <row r="45" spans="1:6" x14ac:dyDescent="0.25">
      <c r="C45" s="44"/>
      <c r="D45" s="82" t="s">
        <v>96</v>
      </c>
      <c r="E45" s="83">
        <f>+E18</f>
        <v>616.44000000000005</v>
      </c>
    </row>
    <row r="46" spans="1:6" ht="15.75" thickBot="1" x14ac:dyDescent="0.3">
      <c r="D46" s="82" t="s">
        <v>3</v>
      </c>
      <c r="E46" s="68">
        <f>+E44+E45</f>
        <v>10743.180000000002</v>
      </c>
    </row>
    <row r="47" spans="1:6" ht="15.75" thickTop="1" x14ac:dyDescent="0.25">
      <c r="D47" s="82"/>
      <c r="E47" s="6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4003-D312-453F-9415-AE4987A74AC7}">
  <sheetPr>
    <tabColor theme="8" tint="0.59999389629810485"/>
  </sheetPr>
  <dimension ref="A1:F20"/>
  <sheetViews>
    <sheetView topLeftCell="A2" workbookViewId="0">
      <selection activeCell="H16" sqref="H16"/>
    </sheetView>
  </sheetViews>
  <sheetFormatPr defaultRowHeight="15" x14ac:dyDescent="0.25"/>
  <cols>
    <col min="1" max="1" width="27.7109375" bestFit="1" customWidth="1"/>
    <col min="2" max="3" width="13.7109375" bestFit="1" customWidth="1"/>
    <col min="4" max="4" width="12.140625" bestFit="1" customWidth="1"/>
  </cols>
  <sheetData>
    <row r="1" spans="1:6" ht="15.75" thickBot="1" x14ac:dyDescent="0.3"/>
    <row r="2" spans="1:6" s="45" customFormat="1" ht="16.5" thickBot="1" x14ac:dyDescent="0.3">
      <c r="A2" s="79"/>
      <c r="B2" s="227" t="s">
        <v>64</v>
      </c>
      <c r="C2" s="228"/>
      <c r="D2" s="229"/>
      <c r="E2"/>
      <c r="F2"/>
    </row>
    <row r="3" spans="1:6" s="45" customFormat="1" ht="15.75" x14ac:dyDescent="0.25">
      <c r="A3" s="46"/>
      <c r="B3" s="230" t="s">
        <v>66</v>
      </c>
      <c r="C3" s="231"/>
      <c r="D3" s="232"/>
      <c r="E3"/>
      <c r="F3"/>
    </row>
    <row r="4" spans="1:6" s="51" customFormat="1" ht="15.75" x14ac:dyDescent="0.25">
      <c r="A4" s="47" t="s">
        <v>67</v>
      </c>
      <c r="B4" s="48" t="s">
        <v>68</v>
      </c>
      <c r="C4" s="49" t="s">
        <v>69</v>
      </c>
      <c r="D4" s="50" t="s">
        <v>65</v>
      </c>
      <c r="E4"/>
      <c r="F4"/>
    </row>
    <row r="5" spans="1:6" s="51" customFormat="1" ht="16.5" thickBot="1" x14ac:dyDescent="0.3">
      <c r="A5" s="52" t="s">
        <v>188</v>
      </c>
      <c r="B5" s="53" t="s">
        <v>71</v>
      </c>
      <c r="C5" s="54" t="s">
        <v>72</v>
      </c>
      <c r="D5" s="55" t="s">
        <v>70</v>
      </c>
    </row>
    <row r="6" spans="1:6" s="58" customFormat="1" x14ac:dyDescent="0.2">
      <c r="A6" s="46" t="s">
        <v>73</v>
      </c>
      <c r="B6" s="56">
        <v>3321.66</v>
      </c>
      <c r="C6" s="56">
        <v>107400.31</v>
      </c>
      <c r="D6" s="57">
        <f t="shared" ref="D6:D17" si="0">SUM(B6:C6)</f>
        <v>110721.97</v>
      </c>
    </row>
    <row r="7" spans="1:6" s="58" customFormat="1" x14ac:dyDescent="0.2">
      <c r="A7" s="46" t="s">
        <v>74</v>
      </c>
      <c r="B7" s="56">
        <v>3368.14</v>
      </c>
      <c r="C7" s="56">
        <v>108903.21</v>
      </c>
      <c r="D7" s="57">
        <f t="shared" si="0"/>
        <v>112271.35</v>
      </c>
    </row>
    <row r="8" spans="1:6" s="58" customFormat="1" x14ac:dyDescent="0.2">
      <c r="A8" s="46" t="s">
        <v>75</v>
      </c>
      <c r="B8" s="56">
        <v>3156.32</v>
      </c>
      <c r="C8" s="56">
        <v>102054.25</v>
      </c>
      <c r="D8" s="57">
        <f t="shared" si="0"/>
        <v>105210.57</v>
      </c>
    </row>
    <row r="9" spans="1:6" s="58" customFormat="1" x14ac:dyDescent="0.2">
      <c r="A9" s="46" t="s">
        <v>76</v>
      </c>
      <c r="B9" s="56">
        <v>1484.46</v>
      </c>
      <c r="C9" s="56">
        <v>47997.4</v>
      </c>
      <c r="D9" s="57">
        <f t="shared" si="0"/>
        <v>49481.86</v>
      </c>
    </row>
    <row r="10" spans="1:6" s="58" customFormat="1" x14ac:dyDescent="0.2">
      <c r="A10" s="46" t="s">
        <v>77</v>
      </c>
      <c r="B10" s="56">
        <v>1172.58</v>
      </c>
      <c r="C10" s="56">
        <v>37913.24</v>
      </c>
      <c r="D10" s="57">
        <f t="shared" si="0"/>
        <v>39085.82</v>
      </c>
    </row>
    <row r="11" spans="1:6" s="58" customFormat="1" x14ac:dyDescent="0.2">
      <c r="A11" s="46" t="s">
        <v>78</v>
      </c>
      <c r="B11" s="56">
        <v>605.16999999999996</v>
      </c>
      <c r="C11" s="56">
        <v>19567.259999999998</v>
      </c>
      <c r="D11" s="57">
        <f t="shared" si="0"/>
        <v>20172.429999999997</v>
      </c>
    </row>
    <row r="12" spans="1:6" s="58" customFormat="1" x14ac:dyDescent="0.2">
      <c r="A12" s="46" t="s">
        <v>79</v>
      </c>
      <c r="B12" s="56"/>
      <c r="C12" s="56"/>
      <c r="D12" s="57">
        <f t="shared" si="0"/>
        <v>0</v>
      </c>
    </row>
    <row r="13" spans="1:6" s="58" customFormat="1" x14ac:dyDescent="0.2">
      <c r="A13" s="46" t="s">
        <v>80</v>
      </c>
      <c r="B13" s="56"/>
      <c r="C13" s="56"/>
      <c r="D13" s="57">
        <f t="shared" si="0"/>
        <v>0</v>
      </c>
    </row>
    <row r="14" spans="1:6" s="58" customFormat="1" x14ac:dyDescent="0.2">
      <c r="A14" s="46" t="s">
        <v>81</v>
      </c>
      <c r="B14" s="56"/>
      <c r="C14" s="56"/>
      <c r="D14" s="57">
        <f t="shared" si="0"/>
        <v>0</v>
      </c>
    </row>
    <row r="15" spans="1:6" s="58" customFormat="1" x14ac:dyDescent="0.2">
      <c r="A15" s="46" t="s">
        <v>82</v>
      </c>
      <c r="B15" s="56"/>
      <c r="C15" s="56"/>
      <c r="D15" s="57">
        <f t="shared" si="0"/>
        <v>0</v>
      </c>
    </row>
    <row r="16" spans="1:6" s="58" customFormat="1" x14ac:dyDescent="0.2">
      <c r="A16" s="46" t="s">
        <v>83</v>
      </c>
      <c r="B16" s="56"/>
      <c r="C16" s="56"/>
      <c r="D16" s="57">
        <f t="shared" si="0"/>
        <v>0</v>
      </c>
    </row>
    <row r="17" spans="1:4" s="58" customFormat="1" x14ac:dyDescent="0.2">
      <c r="A17" s="46" t="s">
        <v>84</v>
      </c>
      <c r="B17" s="56"/>
      <c r="C17" s="56"/>
      <c r="D17" s="57">
        <f t="shared" si="0"/>
        <v>0</v>
      </c>
    </row>
    <row r="18" spans="1:4" s="60" customFormat="1" ht="16.5" thickBot="1" x14ac:dyDescent="0.3">
      <c r="A18" s="59" t="s">
        <v>70</v>
      </c>
      <c r="B18" s="80">
        <f>SUM(B6:B17)</f>
        <v>13108.329999999998</v>
      </c>
      <c r="C18" s="80">
        <f t="shared" ref="C18:D18" si="1">SUM(C6:C17)</f>
        <v>423835.67000000004</v>
      </c>
      <c r="D18" s="81">
        <f t="shared" si="1"/>
        <v>436944</v>
      </c>
    </row>
    <row r="20" spans="1:4" x14ac:dyDescent="0.25">
      <c r="B20" s="82" t="s">
        <v>371</v>
      </c>
      <c r="C20" s="141">
        <f>+C18/500000</f>
        <v>0.84767134000000011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2B4E-24CB-4314-A7CE-67C24C40244F}">
  <sheetPr>
    <tabColor theme="8" tint="0.59999389629810485"/>
  </sheetPr>
  <dimension ref="A1:H78"/>
  <sheetViews>
    <sheetView workbookViewId="0">
      <selection activeCell="H16" sqref="H16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4" style="1" customWidth="1"/>
    <col min="4" max="6" width="13.7109375" style="1" customWidth="1"/>
    <col min="7" max="7" width="99.42578125" style="1" customWidth="1"/>
    <col min="8" max="9" width="8.85546875" style="1"/>
    <col min="10" max="10" width="9.5703125" style="1" bestFit="1" customWidth="1"/>
    <col min="11" max="16384" width="8.85546875" style="1"/>
  </cols>
  <sheetData>
    <row r="1" spans="1:7" ht="18.75" x14ac:dyDescent="0.3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6" t="s">
        <v>150</v>
      </c>
      <c r="B2" s="6"/>
      <c r="C2" s="6"/>
      <c r="D2" s="6"/>
      <c r="F2" s="6"/>
      <c r="G2" s="6"/>
    </row>
    <row r="3" spans="1:7" ht="5.0999999999999996" customHeight="1" thickBot="1" x14ac:dyDescent="0.3">
      <c r="A3" s="5"/>
      <c r="B3" s="5"/>
      <c r="C3" s="5"/>
      <c r="D3" s="5"/>
      <c r="E3" s="5"/>
      <c r="F3" s="5"/>
    </row>
    <row r="4" spans="1:7" ht="45" x14ac:dyDescent="0.25">
      <c r="A4" s="215" t="s">
        <v>20</v>
      </c>
      <c r="B4" s="215"/>
      <c r="C4" s="215"/>
      <c r="D4" s="91" t="s">
        <v>1</v>
      </c>
      <c r="E4" s="92" t="s">
        <v>2</v>
      </c>
      <c r="F4" s="93" t="s">
        <v>48</v>
      </c>
      <c r="G4" s="5" t="s">
        <v>151</v>
      </c>
    </row>
    <row r="5" spans="1:7" x14ac:dyDescent="0.25">
      <c r="A5" s="9" t="s">
        <v>19</v>
      </c>
      <c r="B5" s="7"/>
      <c r="C5" s="7"/>
      <c r="D5" s="84"/>
      <c r="E5" s="8"/>
      <c r="F5" s="85"/>
    </row>
    <row r="6" spans="1:7" x14ac:dyDescent="0.25">
      <c r="A6" s="7"/>
      <c r="B6" s="7"/>
      <c r="C6" s="7" t="s">
        <v>40</v>
      </c>
      <c r="D6" s="86"/>
      <c r="E6" s="12"/>
      <c r="F6" s="87">
        <v>500000</v>
      </c>
      <c r="G6" s="1" t="s">
        <v>152</v>
      </c>
    </row>
    <row r="7" spans="1:7" x14ac:dyDescent="0.25">
      <c r="A7" s="9"/>
      <c r="B7" s="7"/>
      <c r="C7" s="7" t="s">
        <v>23</v>
      </c>
      <c r="D7" s="86"/>
      <c r="E7" s="12"/>
      <c r="F7" s="110">
        <f>8689.09328427672-500+200+1200+700+15000+1200--10254.4025157233+9200-1500+2000</f>
        <v>46443.495800000019</v>
      </c>
      <c r="G7" s="1" t="s">
        <v>153</v>
      </c>
    </row>
    <row r="8" spans="1:7" x14ac:dyDescent="0.25">
      <c r="A8" s="9" t="s">
        <v>18</v>
      </c>
      <c r="B8" s="7"/>
      <c r="C8" s="7"/>
      <c r="D8" s="86"/>
      <c r="E8" s="12"/>
      <c r="F8" s="88">
        <f>SUM(F6:F7)</f>
        <v>546443.49580000003</v>
      </c>
    </row>
    <row r="9" spans="1:7" ht="3" customHeight="1" thickBot="1" x14ac:dyDescent="0.3">
      <c r="A9" s="9"/>
      <c r="B9" s="7"/>
      <c r="C9" s="7"/>
      <c r="D9" s="86"/>
      <c r="E9" s="12"/>
      <c r="F9" s="90"/>
    </row>
    <row r="10" spans="1:7" x14ac:dyDescent="0.25">
      <c r="A10" s="9" t="s">
        <v>4</v>
      </c>
      <c r="B10" s="7"/>
      <c r="C10" s="7"/>
      <c r="D10" s="111"/>
      <c r="E10" s="112"/>
      <c r="F10" s="113"/>
    </row>
    <row r="11" spans="1:7" x14ac:dyDescent="0.25">
      <c r="A11" s="9"/>
      <c r="B11" s="7" t="s">
        <v>98</v>
      </c>
      <c r="C11" s="7"/>
      <c r="D11" s="86">
        <f>+F11</f>
        <v>60000</v>
      </c>
      <c r="E11" s="12"/>
      <c r="F11" s="110">
        <v>60000</v>
      </c>
      <c r="G11" s="1" t="s">
        <v>154</v>
      </c>
    </row>
    <row r="12" spans="1:7" ht="3" customHeight="1" x14ac:dyDescent="0.25">
      <c r="A12" s="9"/>
      <c r="B12" s="7"/>
      <c r="C12" s="7"/>
      <c r="D12" s="114"/>
      <c r="E12" s="97"/>
      <c r="F12" s="110"/>
      <c r="G12" s="15"/>
    </row>
    <row r="13" spans="1:7" x14ac:dyDescent="0.25">
      <c r="A13" s="9"/>
      <c r="B13" s="7" t="s">
        <v>120</v>
      </c>
      <c r="D13" s="114">
        <f>+F13</f>
        <v>5000</v>
      </c>
      <c r="E13" s="97"/>
      <c r="F13" s="110">
        <v>5000</v>
      </c>
      <c r="G13" s="15" t="s">
        <v>155</v>
      </c>
    </row>
    <row r="14" spans="1:7" ht="3" customHeight="1" x14ac:dyDescent="0.25">
      <c r="A14" s="9"/>
      <c r="B14" s="7"/>
      <c r="C14" s="7"/>
      <c r="D14" s="114"/>
      <c r="E14" s="97"/>
      <c r="F14" s="110"/>
    </row>
    <row r="15" spans="1:7" ht="30" x14ac:dyDescent="0.25">
      <c r="A15" s="9"/>
      <c r="B15" s="7" t="s">
        <v>99</v>
      </c>
      <c r="D15" s="114">
        <f>+F15</f>
        <v>60000</v>
      </c>
      <c r="E15" s="97"/>
      <c r="F15" s="110">
        <v>60000</v>
      </c>
      <c r="G15" s="11" t="s">
        <v>156</v>
      </c>
    </row>
    <row r="16" spans="1:7" ht="3" customHeight="1" x14ac:dyDescent="0.25">
      <c r="A16" s="9"/>
      <c r="B16" s="7"/>
      <c r="C16" s="7"/>
      <c r="D16" s="114"/>
      <c r="E16" s="97"/>
      <c r="F16" s="110"/>
    </row>
    <row r="17" spans="1:7" x14ac:dyDescent="0.25">
      <c r="A17" s="9"/>
      <c r="B17" s="7" t="s">
        <v>157</v>
      </c>
      <c r="D17" s="114">
        <f>+F17</f>
        <v>10000</v>
      </c>
      <c r="E17" s="97"/>
      <c r="F17" s="110">
        <v>10000</v>
      </c>
      <c r="G17" s="1" t="s">
        <v>158</v>
      </c>
    </row>
    <row r="18" spans="1:7" ht="3" customHeight="1" x14ac:dyDescent="0.25">
      <c r="A18" s="9"/>
      <c r="B18" s="7"/>
      <c r="C18" s="7"/>
      <c r="D18" s="114"/>
      <c r="E18" s="97"/>
      <c r="F18" s="110"/>
    </row>
    <row r="19" spans="1:7" x14ac:dyDescent="0.25">
      <c r="A19" s="9"/>
      <c r="B19" s="7" t="s">
        <v>38</v>
      </c>
      <c r="D19" s="114">
        <f>+F19</f>
        <v>4500</v>
      </c>
      <c r="E19" s="97"/>
      <c r="F19" s="110">
        <f>375*12</f>
        <v>4500</v>
      </c>
      <c r="G19" s="1" t="s">
        <v>159</v>
      </c>
    </row>
    <row r="20" spans="1:7" ht="3" customHeight="1" x14ac:dyDescent="0.25">
      <c r="A20" s="9"/>
      <c r="B20" s="7"/>
      <c r="C20" s="7"/>
      <c r="D20" s="114"/>
      <c r="E20" s="97"/>
      <c r="F20" s="110"/>
    </row>
    <row r="21" spans="1:7" ht="15" customHeight="1" x14ac:dyDescent="0.25">
      <c r="A21" s="9"/>
      <c r="B21" s="7" t="s">
        <v>21</v>
      </c>
      <c r="C21" s="7"/>
      <c r="D21" s="114">
        <f>+F21*0.5</f>
        <v>2500</v>
      </c>
      <c r="E21" s="97">
        <f>+F21*0.5</f>
        <v>2500</v>
      </c>
      <c r="F21" s="110">
        <v>5000</v>
      </c>
      <c r="G21" s="1" t="s">
        <v>160</v>
      </c>
    </row>
    <row r="22" spans="1:7" ht="3" customHeight="1" x14ac:dyDescent="0.25">
      <c r="A22" s="9"/>
      <c r="B22" s="7"/>
      <c r="C22" s="7"/>
      <c r="D22" s="114"/>
      <c r="E22" s="97"/>
      <c r="F22" s="110"/>
    </row>
    <row r="23" spans="1:7" x14ac:dyDescent="0.25">
      <c r="A23" s="9"/>
      <c r="B23" s="7" t="s">
        <v>41</v>
      </c>
      <c r="C23" s="7"/>
      <c r="D23" s="114">
        <f>+F23</f>
        <v>25000</v>
      </c>
      <c r="E23" s="97"/>
      <c r="F23" s="110">
        <v>25000</v>
      </c>
      <c r="G23" s="1" t="s">
        <v>161</v>
      </c>
    </row>
    <row r="24" spans="1:7" ht="3" customHeight="1" x14ac:dyDescent="0.25">
      <c r="A24" s="9"/>
      <c r="B24" s="7"/>
      <c r="C24" s="7"/>
      <c r="D24" s="114"/>
      <c r="E24" s="97"/>
      <c r="F24" s="110"/>
    </row>
    <row r="25" spans="1:7" x14ac:dyDescent="0.25">
      <c r="A25" s="9"/>
      <c r="B25" s="7" t="s">
        <v>39</v>
      </c>
      <c r="C25" s="7"/>
      <c r="D25" s="114">
        <f>+F25</f>
        <v>4900</v>
      </c>
      <c r="E25" s="97"/>
      <c r="F25" s="110">
        <f>3500+1400</f>
        <v>4900</v>
      </c>
      <c r="G25" s="1" t="s">
        <v>162</v>
      </c>
    </row>
    <row r="26" spans="1:7" ht="3" customHeight="1" x14ac:dyDescent="0.25">
      <c r="A26" s="9"/>
      <c r="B26" s="7"/>
      <c r="C26" s="7"/>
      <c r="D26" s="114"/>
      <c r="E26" s="97"/>
      <c r="F26" s="110"/>
    </row>
    <row r="27" spans="1:7" x14ac:dyDescent="0.25">
      <c r="A27" s="9"/>
      <c r="B27" s="7" t="s">
        <v>22</v>
      </c>
      <c r="C27" s="7"/>
      <c r="D27" s="114">
        <f>+F27</f>
        <v>10000</v>
      </c>
      <c r="E27" s="97"/>
      <c r="F27" s="110">
        <v>10000</v>
      </c>
      <c r="G27" s="1" t="s">
        <v>163</v>
      </c>
    </row>
    <row r="28" spans="1:7" ht="3" customHeight="1" x14ac:dyDescent="0.25">
      <c r="A28" s="9"/>
      <c r="B28" s="7"/>
      <c r="C28" s="7"/>
      <c r="D28" s="114"/>
      <c r="E28" s="97"/>
      <c r="F28" s="110"/>
    </row>
    <row r="29" spans="1:7" ht="30" x14ac:dyDescent="0.25">
      <c r="A29" s="9"/>
      <c r="B29" s="7" t="s">
        <v>164</v>
      </c>
      <c r="C29" s="7"/>
      <c r="D29" s="114">
        <f>+F29</f>
        <v>3700</v>
      </c>
      <c r="E29" s="97"/>
      <c r="F29" s="110">
        <f>3000+700</f>
        <v>3700</v>
      </c>
      <c r="G29" s="15" t="s">
        <v>165</v>
      </c>
    </row>
    <row r="30" spans="1:7" ht="3" customHeight="1" x14ac:dyDescent="0.25">
      <c r="A30" s="9"/>
      <c r="B30" s="7"/>
      <c r="C30" s="7"/>
      <c r="D30" s="114"/>
      <c r="E30" s="97"/>
      <c r="F30" s="110"/>
    </row>
    <row r="31" spans="1:7" x14ac:dyDescent="0.25">
      <c r="A31" s="9"/>
      <c r="B31" s="7" t="s">
        <v>5</v>
      </c>
      <c r="C31" s="7"/>
      <c r="D31" s="114"/>
      <c r="E31" s="97"/>
      <c r="F31" s="110"/>
    </row>
    <row r="32" spans="1:7" x14ac:dyDescent="0.25">
      <c r="A32" s="9"/>
      <c r="B32" s="89"/>
      <c r="C32" s="89" t="s">
        <v>6</v>
      </c>
      <c r="D32" s="114">
        <f>+F32</f>
        <v>70000</v>
      </c>
      <c r="E32" s="97"/>
      <c r="F32" s="110">
        <v>70000</v>
      </c>
      <c r="G32" s="1" t="s">
        <v>166</v>
      </c>
    </row>
    <row r="33" spans="1:8" x14ac:dyDescent="0.25">
      <c r="A33" s="9"/>
      <c r="B33" s="7"/>
      <c r="C33" s="7" t="s">
        <v>7</v>
      </c>
      <c r="D33" s="114">
        <f>+F33</f>
        <v>4800</v>
      </c>
      <c r="E33" s="97"/>
      <c r="F33" s="110">
        <v>4800</v>
      </c>
      <c r="G33" s="1" t="s">
        <v>167</v>
      </c>
    </row>
    <row r="34" spans="1:8" x14ac:dyDescent="0.25">
      <c r="A34" s="9"/>
      <c r="B34" s="7"/>
      <c r="C34" s="7" t="s">
        <v>8</v>
      </c>
      <c r="D34" s="114">
        <f>+F34</f>
        <v>12323.404800000002</v>
      </c>
      <c r="E34" s="97"/>
      <c r="F34" s="110">
        <v>12323.404800000002</v>
      </c>
      <c r="G34" s="1" t="s">
        <v>168</v>
      </c>
    </row>
    <row r="35" spans="1:8" ht="3" customHeight="1" x14ac:dyDescent="0.25">
      <c r="A35" s="9"/>
      <c r="B35" s="7"/>
      <c r="C35" s="7"/>
      <c r="D35" s="114"/>
      <c r="E35" s="97"/>
      <c r="F35" s="110"/>
    </row>
    <row r="36" spans="1:8" x14ac:dyDescent="0.25">
      <c r="A36" s="9"/>
      <c r="B36" s="7" t="s">
        <v>9</v>
      </c>
      <c r="C36" s="7"/>
      <c r="D36" s="114"/>
      <c r="E36" s="97"/>
      <c r="F36" s="110"/>
    </row>
    <row r="37" spans="1:8" x14ac:dyDescent="0.25">
      <c r="A37" s="9"/>
      <c r="B37" s="7"/>
      <c r="C37" s="7" t="s">
        <v>100</v>
      </c>
      <c r="D37" s="114">
        <f>+F37/3</f>
        <v>4400</v>
      </c>
      <c r="E37" s="97">
        <f>+F37/3*2</f>
        <v>8800</v>
      </c>
      <c r="F37" s="110">
        <v>13200</v>
      </c>
      <c r="G37" s="1" t="s">
        <v>169</v>
      </c>
    </row>
    <row r="38" spans="1:8" ht="15" customHeight="1" x14ac:dyDescent="0.25">
      <c r="A38" s="9"/>
      <c r="B38" s="7"/>
      <c r="C38" s="7" t="s">
        <v>10</v>
      </c>
      <c r="D38" s="114"/>
      <c r="E38" s="97">
        <f>+F38</f>
        <v>3600</v>
      </c>
      <c r="F38" s="110">
        <f>10*12*30</f>
        <v>3600</v>
      </c>
      <c r="G38" s="1" t="s">
        <v>170</v>
      </c>
    </row>
    <row r="39" spans="1:8" x14ac:dyDescent="0.25">
      <c r="A39" s="9"/>
      <c r="B39" s="7"/>
      <c r="C39" s="7" t="s">
        <v>11</v>
      </c>
      <c r="D39" s="114"/>
      <c r="E39" s="97">
        <f>+F39</f>
        <v>7000</v>
      </c>
      <c r="F39" s="110">
        <v>7000</v>
      </c>
      <c r="G39" s="1" t="s">
        <v>171</v>
      </c>
    </row>
    <row r="40" spans="1:8" ht="3" customHeight="1" x14ac:dyDescent="0.25">
      <c r="A40" s="9"/>
      <c r="B40" s="7"/>
      <c r="C40" s="7"/>
      <c r="D40" s="114"/>
      <c r="E40" s="97"/>
      <c r="F40" s="110"/>
    </row>
    <row r="41" spans="1:8" x14ac:dyDescent="0.25">
      <c r="A41" s="9"/>
      <c r="B41" s="7" t="s">
        <v>12</v>
      </c>
      <c r="C41" s="7"/>
      <c r="D41" s="114">
        <f>+F41</f>
        <v>21000</v>
      </c>
      <c r="F41" s="110">
        <v>21000</v>
      </c>
      <c r="G41" s="1" t="s">
        <v>118</v>
      </c>
    </row>
    <row r="42" spans="1:8" ht="3" customHeight="1" x14ac:dyDescent="0.25">
      <c r="A42" s="9"/>
      <c r="B42" s="7"/>
      <c r="C42" s="7"/>
      <c r="D42" s="114"/>
      <c r="F42" s="110"/>
    </row>
    <row r="43" spans="1:8" ht="30" x14ac:dyDescent="0.25">
      <c r="A43" s="9"/>
      <c r="B43" s="7" t="s">
        <v>101</v>
      </c>
      <c r="C43" s="7"/>
      <c r="D43" s="114">
        <f>+F43</f>
        <v>9000</v>
      </c>
      <c r="F43" s="110">
        <v>9000</v>
      </c>
      <c r="G43" s="15" t="s">
        <v>172</v>
      </c>
    </row>
    <row r="44" spans="1:8" ht="3" customHeight="1" x14ac:dyDescent="0.25">
      <c r="A44" s="9"/>
      <c r="B44" s="7"/>
      <c r="C44" s="7"/>
      <c r="D44" s="114"/>
      <c r="F44" s="110"/>
    </row>
    <row r="45" spans="1:8" ht="15" customHeight="1" x14ac:dyDescent="0.25">
      <c r="A45" s="9"/>
      <c r="B45" s="7" t="s">
        <v>25</v>
      </c>
      <c r="C45" s="7"/>
      <c r="D45" s="114">
        <f>+F45</f>
        <v>3000</v>
      </c>
      <c r="F45" s="110">
        <v>3000</v>
      </c>
      <c r="G45" s="1" t="s">
        <v>173</v>
      </c>
      <c r="H45" s="11"/>
    </row>
    <row r="46" spans="1:8" ht="3" customHeight="1" x14ac:dyDescent="0.25">
      <c r="A46" s="9"/>
      <c r="B46" s="7"/>
      <c r="C46" s="7"/>
      <c r="D46" s="114"/>
      <c r="F46" s="110"/>
    </row>
    <row r="47" spans="1:8" ht="15" customHeight="1" x14ac:dyDescent="0.25">
      <c r="A47" s="9"/>
      <c r="B47" s="7" t="s">
        <v>49</v>
      </c>
      <c r="C47" s="7"/>
      <c r="D47" s="114">
        <f>+F47</f>
        <v>21000</v>
      </c>
      <c r="F47" s="110">
        <v>21000</v>
      </c>
      <c r="H47" s="11"/>
    </row>
    <row r="48" spans="1:8" ht="15" customHeight="1" x14ac:dyDescent="0.25">
      <c r="A48" s="9"/>
      <c r="B48" s="7" t="s">
        <v>50</v>
      </c>
      <c r="C48" s="7"/>
      <c r="D48" s="114">
        <f>+F48</f>
        <v>3750</v>
      </c>
      <c r="F48" s="110">
        <v>3750</v>
      </c>
      <c r="G48" s="1" t="s">
        <v>174</v>
      </c>
    </row>
    <row r="49" spans="1:7" ht="15" customHeight="1" x14ac:dyDescent="0.25">
      <c r="A49" s="9"/>
      <c r="B49" s="7" t="s">
        <v>175</v>
      </c>
      <c r="C49" s="7"/>
      <c r="D49" s="114">
        <f>+F49</f>
        <v>1000</v>
      </c>
      <c r="F49" s="110">
        <v>1000</v>
      </c>
      <c r="G49" s="1" t="s">
        <v>176</v>
      </c>
    </row>
    <row r="50" spans="1:7" ht="3" customHeight="1" x14ac:dyDescent="0.25">
      <c r="A50" s="9"/>
      <c r="B50" s="7"/>
      <c r="C50" s="7"/>
      <c r="D50" s="114"/>
      <c r="F50" s="110"/>
    </row>
    <row r="51" spans="1:7" ht="15" customHeight="1" x14ac:dyDescent="0.25">
      <c r="A51" s="9"/>
      <c r="B51" s="7" t="s">
        <v>13</v>
      </c>
      <c r="C51" s="7"/>
      <c r="D51" s="114">
        <f>+F51</f>
        <v>3500</v>
      </c>
      <c r="F51" s="110">
        <v>3500</v>
      </c>
      <c r="G51" s="1" t="s">
        <v>119</v>
      </c>
    </row>
    <row r="52" spans="1:7" ht="3" customHeight="1" x14ac:dyDescent="0.25">
      <c r="A52" s="9"/>
      <c r="B52" s="7"/>
      <c r="C52" s="7"/>
      <c r="D52" s="114"/>
      <c r="F52" s="110"/>
    </row>
    <row r="53" spans="1:7" x14ac:dyDescent="0.25">
      <c r="A53" s="9"/>
      <c r="B53" s="7" t="s">
        <v>14</v>
      </c>
      <c r="C53" s="7"/>
      <c r="D53" s="114">
        <f>+F53</f>
        <v>18000</v>
      </c>
      <c r="F53" s="110">
        <v>18000</v>
      </c>
      <c r="G53" s="15" t="s">
        <v>177</v>
      </c>
    </row>
    <row r="54" spans="1:7" ht="3" customHeight="1" x14ac:dyDescent="0.25">
      <c r="A54" s="9"/>
      <c r="B54" s="7"/>
      <c r="C54" s="7"/>
      <c r="D54" s="114"/>
      <c r="F54" s="110"/>
    </row>
    <row r="55" spans="1:7" ht="30" x14ac:dyDescent="0.25">
      <c r="A55" s="7"/>
      <c r="B55" s="7" t="s">
        <v>15</v>
      </c>
      <c r="C55" s="7"/>
      <c r="D55" s="114">
        <f>+F55</f>
        <v>24000</v>
      </c>
      <c r="F55" s="110">
        <v>24000</v>
      </c>
      <c r="G55" s="15" t="s">
        <v>178</v>
      </c>
    </row>
    <row r="56" spans="1:7" ht="3" customHeight="1" x14ac:dyDescent="0.25">
      <c r="A56" s="9"/>
      <c r="B56" s="7"/>
      <c r="C56" s="7"/>
      <c r="D56" s="114"/>
      <c r="E56" s="97"/>
      <c r="F56" s="110"/>
    </row>
    <row r="57" spans="1:7" ht="15" customHeight="1" x14ac:dyDescent="0.25">
      <c r="B57" s="7" t="s">
        <v>26</v>
      </c>
      <c r="C57" s="7"/>
      <c r="D57" s="114"/>
      <c r="E57" s="97">
        <f>+E65</f>
        <v>143170.09100000001</v>
      </c>
      <c r="F57" s="110">
        <f>+F65</f>
        <v>143170.09100000001</v>
      </c>
      <c r="G57" s="62" t="s">
        <v>179</v>
      </c>
    </row>
    <row r="58" spans="1:7" ht="3" customHeight="1" thickBot="1" x14ac:dyDescent="0.3">
      <c r="C58" s="7"/>
      <c r="D58" s="115"/>
      <c r="E58" s="116"/>
      <c r="F58" s="117"/>
    </row>
    <row r="59" spans="1:7" x14ac:dyDescent="0.25">
      <c r="A59" s="9" t="s">
        <v>16</v>
      </c>
      <c r="C59" s="7"/>
      <c r="D59" s="118">
        <f t="shared" ref="D59:E59" si="0">SUM(D11:D58)</f>
        <v>381373.40480000002</v>
      </c>
      <c r="E59" s="119">
        <f t="shared" si="0"/>
        <v>165070.09100000001</v>
      </c>
      <c r="F59" s="120">
        <f>SUM(F11:F58)</f>
        <v>546443.49580000003</v>
      </c>
    </row>
    <row r="60" spans="1:7" ht="3" customHeight="1" x14ac:dyDescent="0.25">
      <c r="A60" s="9"/>
      <c r="C60" s="7"/>
      <c r="D60" s="121"/>
      <c r="E60" s="14"/>
      <c r="F60" s="90"/>
    </row>
    <row r="61" spans="1:7" ht="15.75" thickBot="1" x14ac:dyDescent="0.3">
      <c r="A61" s="9" t="s">
        <v>17</v>
      </c>
      <c r="C61" s="3"/>
      <c r="D61" s="121"/>
      <c r="E61" s="14"/>
      <c r="F61" s="96">
        <f>+F8-F59</f>
        <v>0</v>
      </c>
    </row>
    <row r="62" spans="1:7" ht="2.1" customHeight="1" thickTop="1" x14ac:dyDescent="0.25">
      <c r="A62" s="9"/>
      <c r="C62" s="3"/>
      <c r="D62" s="121"/>
      <c r="E62" s="14"/>
      <c r="F62" s="90"/>
    </row>
    <row r="63" spans="1:7" ht="2.1" customHeight="1" thickBot="1" x14ac:dyDescent="0.3">
      <c r="D63" s="121"/>
      <c r="E63" s="14"/>
      <c r="F63" s="122"/>
    </row>
    <row r="64" spans="1:7" ht="3" customHeight="1" x14ac:dyDescent="0.25">
      <c r="D64" s="91"/>
      <c r="E64" s="92"/>
      <c r="F64" s="93"/>
    </row>
    <row r="65" spans="1:7" ht="15.75" thickBot="1" x14ac:dyDescent="0.3">
      <c r="A65" s="9" t="s">
        <v>28</v>
      </c>
      <c r="C65" s="3"/>
      <c r="D65" s="121"/>
      <c r="E65" s="33">
        <f>+E76</f>
        <v>143170.09100000001</v>
      </c>
      <c r="F65" s="96">
        <f>+F76</f>
        <v>143170.09100000001</v>
      </c>
      <c r="G65" s="61"/>
    </row>
    <row r="66" spans="1:7" ht="3" customHeight="1" thickTop="1" x14ac:dyDescent="0.25">
      <c r="B66" s="7"/>
      <c r="C66" s="3"/>
      <c r="D66" s="95"/>
      <c r="F66" s="94"/>
    </row>
    <row r="67" spans="1:7" x14ac:dyDescent="0.25">
      <c r="C67" s="7" t="s">
        <v>102</v>
      </c>
      <c r="D67" s="123"/>
      <c r="E67" s="124">
        <f>+F67</f>
        <v>48000</v>
      </c>
      <c r="F67" s="125">
        <v>48000</v>
      </c>
      <c r="G67" s="1" t="s">
        <v>180</v>
      </c>
    </row>
    <row r="68" spans="1:7" x14ac:dyDescent="0.25">
      <c r="C68" s="7" t="s">
        <v>27</v>
      </c>
      <c r="D68" s="123"/>
      <c r="E68" s="124">
        <f t="shared" ref="E68:E75" si="1">+F68</f>
        <v>36470.091</v>
      </c>
      <c r="F68" s="125">
        <v>36470.091</v>
      </c>
      <c r="G68" s="1" t="s">
        <v>181</v>
      </c>
    </row>
    <row r="69" spans="1:7" hidden="1" x14ac:dyDescent="0.25">
      <c r="C69" s="7" t="s">
        <v>42</v>
      </c>
      <c r="D69" s="123"/>
      <c r="E69" s="124">
        <f t="shared" si="1"/>
        <v>0</v>
      </c>
      <c r="F69" s="125">
        <v>0</v>
      </c>
    </row>
    <row r="70" spans="1:7" x14ac:dyDescent="0.25">
      <c r="C70" s="7" t="s">
        <v>103</v>
      </c>
      <c r="D70" s="123"/>
      <c r="E70" s="124">
        <f t="shared" si="1"/>
        <v>25000</v>
      </c>
      <c r="F70" s="125">
        <v>25000</v>
      </c>
      <c r="G70" s="1" t="s">
        <v>104</v>
      </c>
    </row>
    <row r="71" spans="1:7" x14ac:dyDescent="0.25">
      <c r="C71" s="7" t="s">
        <v>182</v>
      </c>
      <c r="D71" s="123"/>
      <c r="E71" s="124">
        <f t="shared" si="1"/>
        <v>12000</v>
      </c>
      <c r="F71" s="125">
        <v>12000</v>
      </c>
      <c r="G71" s="1" t="s">
        <v>183</v>
      </c>
    </row>
    <row r="72" spans="1:7" x14ac:dyDescent="0.25">
      <c r="C72" s="7" t="s">
        <v>184</v>
      </c>
      <c r="D72" s="123"/>
      <c r="E72" s="124">
        <f t="shared" si="1"/>
        <v>3000</v>
      </c>
      <c r="F72" s="125">
        <v>3000</v>
      </c>
      <c r="G72" s="1" t="s">
        <v>185</v>
      </c>
    </row>
    <row r="73" spans="1:7" x14ac:dyDescent="0.25">
      <c r="C73" s="7" t="s">
        <v>105</v>
      </c>
      <c r="D73" s="123"/>
      <c r="E73" s="124">
        <f t="shared" si="1"/>
        <v>8000</v>
      </c>
      <c r="F73" s="125">
        <v>8000</v>
      </c>
      <c r="G73" s="1" t="s">
        <v>186</v>
      </c>
    </row>
    <row r="74" spans="1:7" x14ac:dyDescent="0.25">
      <c r="C74" s="7" t="s">
        <v>106</v>
      </c>
      <c r="D74" s="123"/>
      <c r="E74" s="124">
        <f t="shared" si="1"/>
        <v>6700</v>
      </c>
      <c r="F74" s="125">
        <v>6700</v>
      </c>
      <c r="G74" s="1" t="s">
        <v>107</v>
      </c>
    </row>
    <row r="75" spans="1:7" ht="15.75" thickBot="1" x14ac:dyDescent="0.3">
      <c r="C75" s="7" t="s">
        <v>108</v>
      </c>
      <c r="D75" s="126"/>
      <c r="E75" s="127">
        <f t="shared" si="1"/>
        <v>4000</v>
      </c>
      <c r="F75" s="128">
        <v>4000</v>
      </c>
      <c r="G75" s="1" t="s">
        <v>187</v>
      </c>
    </row>
    <row r="76" spans="1:7" ht="15.75" hidden="1" thickBot="1" x14ac:dyDescent="0.3">
      <c r="C76" s="34" t="s">
        <v>3</v>
      </c>
      <c r="D76" s="16"/>
      <c r="E76" s="16">
        <f t="shared" ref="E76:F76" si="2">SUM(E67:E75)</f>
        <v>143170.09100000001</v>
      </c>
      <c r="F76" s="16">
        <f t="shared" si="2"/>
        <v>143170.09100000001</v>
      </c>
    </row>
    <row r="77" spans="1:7" ht="3.95" customHeight="1" x14ac:dyDescent="0.25"/>
    <row r="78" spans="1:7" x14ac:dyDescent="0.25">
      <c r="E78" s="61"/>
    </row>
  </sheetData>
  <mergeCells count="1"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5ABA-A051-4715-930B-919A0326640A}">
  <sheetPr>
    <tabColor theme="7" tint="0.59999389629810485"/>
    <pageSetUpPr fitToPage="1"/>
  </sheetPr>
  <dimension ref="A1:L91"/>
  <sheetViews>
    <sheetView zoomScale="130" zoomScaleNormal="130" workbookViewId="0">
      <selection sqref="A1:K1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4" style="1" customWidth="1"/>
    <col min="4" max="5" width="13.7109375" style="1" hidden="1" customWidth="1"/>
    <col min="6" max="8" width="13.7109375" style="1" customWidth="1"/>
    <col min="9" max="10" width="13.7109375" style="1" hidden="1" customWidth="1"/>
    <col min="11" max="11" width="76.85546875" style="1" customWidth="1"/>
    <col min="12" max="13" width="8.85546875" style="1"/>
    <col min="14" max="14" width="9.5703125" style="1" bestFit="1" customWidth="1"/>
    <col min="15" max="16384" width="8.85546875" style="1"/>
  </cols>
  <sheetData>
    <row r="1" spans="1:11" ht="18.75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8.75" x14ac:dyDescent="0.3">
      <c r="A2" s="214" t="s">
        <v>528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x14ac:dyDescent="0.25">
      <c r="A3" s="215" t="s">
        <v>579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ht="8.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60" x14ac:dyDescent="0.25">
      <c r="A5" s="215" t="s">
        <v>20</v>
      </c>
      <c r="B5" s="215"/>
      <c r="C5" s="215"/>
      <c r="D5" s="4" t="s">
        <v>149</v>
      </c>
      <c r="E5" s="4" t="s">
        <v>115</v>
      </c>
      <c r="F5" s="4" t="s">
        <v>414</v>
      </c>
      <c r="G5" s="4" t="s">
        <v>570</v>
      </c>
      <c r="H5" s="4" t="s">
        <v>417</v>
      </c>
      <c r="I5" s="184" t="s">
        <v>562</v>
      </c>
      <c r="J5" s="197" t="s">
        <v>576</v>
      </c>
      <c r="K5" s="4" t="s">
        <v>47</v>
      </c>
    </row>
    <row r="6" spans="1:11" x14ac:dyDescent="0.25">
      <c r="A6" s="9" t="s">
        <v>19</v>
      </c>
      <c r="B6" s="7"/>
      <c r="C6" s="7"/>
      <c r="D6" s="8"/>
      <c r="E6" s="8"/>
      <c r="F6" s="8"/>
      <c r="G6" s="8"/>
      <c r="H6" s="8"/>
      <c r="I6" s="185"/>
      <c r="J6" s="198"/>
    </row>
    <row r="7" spans="1:11" x14ac:dyDescent="0.25">
      <c r="A7" s="7"/>
      <c r="B7" s="7"/>
      <c r="C7" s="7" t="s">
        <v>40</v>
      </c>
      <c r="D7" s="12">
        <v>500000</v>
      </c>
      <c r="E7" s="12">
        <f>+F7-D7</f>
        <v>17994.029640000022</v>
      </c>
      <c r="F7" s="12">
        <f>+'25-26 Proj. Actual vs Budget'!F7</f>
        <v>517994.02964000002</v>
      </c>
      <c r="G7" s="12">
        <v>515000</v>
      </c>
      <c r="H7" s="12">
        <f>+G7-F7</f>
        <v>-2994.0296400000225</v>
      </c>
      <c r="I7" s="186">
        <v>515000</v>
      </c>
      <c r="J7" s="196">
        <f>+G7-I7</f>
        <v>0</v>
      </c>
      <c r="K7" s="1" t="s">
        <v>425</v>
      </c>
    </row>
    <row r="8" spans="1:11" x14ac:dyDescent="0.25">
      <c r="A8" s="9"/>
      <c r="B8" s="7"/>
      <c r="C8" s="7" t="s">
        <v>23</v>
      </c>
      <c r="D8" s="12">
        <v>46443.495800000019</v>
      </c>
      <c r="E8" s="12">
        <f>+F8-D8+0.4</f>
        <v>-26882.654440000137</v>
      </c>
      <c r="F8" s="12">
        <f>+'25-26 Proj. Actual vs Budget'!F8</f>
        <v>19560.441359999881</v>
      </c>
      <c r="G8" s="12">
        <f>69500+16500-16500+900-100-15000+100+10000</f>
        <v>65400</v>
      </c>
      <c r="H8" s="12">
        <f>+G8-F8</f>
        <v>45839.558640000119</v>
      </c>
      <c r="I8" s="186">
        <v>69500</v>
      </c>
      <c r="J8" s="196">
        <f>+G8-I8</f>
        <v>-4100</v>
      </c>
      <c r="K8" s="15" t="s">
        <v>544</v>
      </c>
    </row>
    <row r="9" spans="1:11" x14ac:dyDescent="0.25">
      <c r="A9" s="9" t="s">
        <v>18</v>
      </c>
      <c r="B9" s="7"/>
      <c r="C9" s="7"/>
      <c r="D9" s="13">
        <f t="shared" ref="D9:J9" si="0">SUM(D7:D8)</f>
        <v>546443.49580000003</v>
      </c>
      <c r="E9" s="13">
        <f t="shared" si="0"/>
        <v>-8888.6248000001142</v>
      </c>
      <c r="F9" s="13">
        <f t="shared" si="0"/>
        <v>537554.4709999999</v>
      </c>
      <c r="G9" s="13">
        <f t="shared" si="0"/>
        <v>580400</v>
      </c>
      <c r="H9" s="13">
        <f>SUM(H7:H8)</f>
        <v>42845.529000000097</v>
      </c>
      <c r="I9" s="187">
        <f t="shared" si="0"/>
        <v>584500</v>
      </c>
      <c r="J9" s="199">
        <f t="shared" si="0"/>
        <v>-4100</v>
      </c>
      <c r="K9" s="61"/>
    </row>
    <row r="10" spans="1:11" ht="8.1" customHeight="1" x14ac:dyDescent="0.25">
      <c r="A10" s="9"/>
      <c r="B10" s="7"/>
      <c r="C10" s="7"/>
      <c r="D10" s="14"/>
      <c r="E10" s="14"/>
      <c r="F10" s="14"/>
      <c r="G10" s="14"/>
      <c r="H10" s="14"/>
      <c r="I10" s="188"/>
      <c r="J10" s="200"/>
    </row>
    <row r="11" spans="1:11" x14ac:dyDescent="0.25">
      <c r="A11" s="9" t="s">
        <v>4</v>
      </c>
      <c r="B11" s="7"/>
      <c r="C11" s="7"/>
      <c r="D11" s="12"/>
      <c r="E11" s="12"/>
      <c r="F11" s="12"/>
      <c r="G11" s="12"/>
      <c r="H11" s="12"/>
      <c r="I11" s="186"/>
      <c r="J11" s="196"/>
    </row>
    <row r="12" spans="1:11" ht="15" customHeight="1" x14ac:dyDescent="0.25">
      <c r="A12" s="9"/>
      <c r="B12" s="7" t="s">
        <v>98</v>
      </c>
      <c r="C12" s="7"/>
      <c r="D12" s="12">
        <v>60000</v>
      </c>
      <c r="E12" s="12">
        <f>+F12-D12</f>
        <v>0</v>
      </c>
      <c r="F12" s="12">
        <f>+'25-26 Proj. Actual vs Budget'!F12</f>
        <v>60000</v>
      </c>
      <c r="G12" s="12">
        <v>65000</v>
      </c>
      <c r="H12" s="12">
        <f>+G12-F12</f>
        <v>5000</v>
      </c>
      <c r="I12" s="186">
        <v>65000</v>
      </c>
      <c r="J12" s="196">
        <f t="shared" ref="J12:J60" si="1">+G12-I12</f>
        <v>0</v>
      </c>
      <c r="K12" s="1" t="s">
        <v>563</v>
      </c>
    </row>
    <row r="13" spans="1:11" ht="8.1" customHeight="1" x14ac:dyDescent="0.25">
      <c r="A13" s="9"/>
      <c r="B13" s="7"/>
      <c r="C13" s="7"/>
      <c r="D13" s="12"/>
      <c r="E13" s="12"/>
      <c r="F13" s="12"/>
      <c r="G13" s="12"/>
      <c r="H13" s="12"/>
      <c r="I13" s="186"/>
      <c r="J13" s="196"/>
    </row>
    <row r="14" spans="1:11" x14ac:dyDescent="0.25">
      <c r="A14" s="9"/>
      <c r="B14" s="7" t="s">
        <v>534</v>
      </c>
      <c r="D14" s="12">
        <v>5000</v>
      </c>
      <c r="E14" s="12">
        <f>+F14-D14</f>
        <v>0</v>
      </c>
      <c r="F14" s="12">
        <f>+'25-26 Proj. Actual vs Budget'!F14</f>
        <v>5000</v>
      </c>
      <c r="G14" s="213">
        <v>40000</v>
      </c>
      <c r="H14" s="12">
        <f>+G14-F14</f>
        <v>35000</v>
      </c>
      <c r="I14" s="186">
        <v>40000</v>
      </c>
      <c r="J14" s="196">
        <f t="shared" si="1"/>
        <v>0</v>
      </c>
      <c r="K14" s="1" t="s">
        <v>564</v>
      </c>
    </row>
    <row r="15" spans="1:11" ht="8.1" customHeight="1" x14ac:dyDescent="0.25">
      <c r="A15" s="9"/>
      <c r="B15" s="7"/>
      <c r="C15" s="7"/>
      <c r="D15" s="12"/>
      <c r="E15" s="12"/>
      <c r="F15" s="12"/>
      <c r="G15" s="12"/>
      <c r="H15" s="12"/>
      <c r="I15" s="186"/>
      <c r="J15" s="196"/>
    </row>
    <row r="16" spans="1:11" s="89" customFormat="1" ht="45" x14ac:dyDescent="0.25">
      <c r="A16" s="148"/>
      <c r="B16" s="89" t="s">
        <v>99</v>
      </c>
      <c r="D16" s="149">
        <v>60000</v>
      </c>
      <c r="E16" s="149">
        <f>+F16-D16</f>
        <v>-9.9999999998544808E-2</v>
      </c>
      <c r="F16" s="149">
        <f>+'25-26 Proj. Actual vs Budget'!F16</f>
        <v>59999.9</v>
      </c>
      <c r="G16" s="149">
        <v>65000</v>
      </c>
      <c r="H16" s="149">
        <f>+G16-F16</f>
        <v>5000.0999999999985</v>
      </c>
      <c r="I16" s="189">
        <v>65000</v>
      </c>
      <c r="J16" s="201">
        <f t="shared" si="1"/>
        <v>0</v>
      </c>
      <c r="K16" s="151" t="s">
        <v>427</v>
      </c>
    </row>
    <row r="17" spans="1:11" ht="8.1" customHeight="1" x14ac:dyDescent="0.25">
      <c r="A17" s="9"/>
      <c r="B17" s="7"/>
      <c r="C17" s="7"/>
      <c r="D17" s="12"/>
      <c r="E17" s="12"/>
      <c r="F17" s="12"/>
      <c r="G17" s="12"/>
      <c r="H17" s="12"/>
      <c r="I17" s="186"/>
      <c r="J17" s="196"/>
    </row>
    <row r="18" spans="1:11" s="89" customFormat="1" ht="30" customHeight="1" x14ac:dyDescent="0.25">
      <c r="A18" s="148"/>
      <c r="B18" s="89" t="s">
        <v>536</v>
      </c>
      <c r="D18" s="149">
        <v>10000</v>
      </c>
      <c r="E18" s="149">
        <f>+F18-D18</f>
        <v>0</v>
      </c>
      <c r="F18" s="149">
        <f>+'25-26 Proj. Actual vs Budget'!F18</f>
        <v>10000</v>
      </c>
      <c r="G18" s="149">
        <v>5000</v>
      </c>
      <c r="H18" s="149">
        <f>+G18-F18</f>
        <v>-5000</v>
      </c>
      <c r="I18" s="189">
        <v>15000</v>
      </c>
      <c r="J18" s="201">
        <f t="shared" si="1"/>
        <v>-10000</v>
      </c>
      <c r="K18" s="150" t="s">
        <v>535</v>
      </c>
    </row>
    <row r="19" spans="1:11" ht="8.1" customHeight="1" x14ac:dyDescent="0.25">
      <c r="A19" s="9"/>
      <c r="B19" s="7"/>
      <c r="C19" s="7"/>
      <c r="D19" s="12"/>
      <c r="E19" s="12"/>
      <c r="F19" s="12"/>
      <c r="G19" s="12"/>
      <c r="H19" s="12"/>
      <c r="I19" s="186"/>
      <c r="J19" s="196"/>
    </row>
    <row r="20" spans="1:11" x14ac:dyDescent="0.25">
      <c r="A20" s="9"/>
      <c r="B20" s="7" t="s">
        <v>38</v>
      </c>
      <c r="D20" s="12">
        <v>4500</v>
      </c>
      <c r="E20" s="12">
        <f>+F20-D20</f>
        <v>-300</v>
      </c>
      <c r="F20" s="12">
        <f>+'25-26 Proj. Actual vs Budget'!F20</f>
        <v>4200</v>
      </c>
      <c r="G20" s="12">
        <f>450*12</f>
        <v>5400</v>
      </c>
      <c r="H20" s="12">
        <f>+G20-F20</f>
        <v>1200</v>
      </c>
      <c r="I20" s="186">
        <f>450*12</f>
        <v>5400</v>
      </c>
      <c r="J20" s="196">
        <f t="shared" si="1"/>
        <v>0</v>
      </c>
      <c r="K20" s="1" t="s">
        <v>513</v>
      </c>
    </row>
    <row r="21" spans="1:11" ht="8.1" customHeight="1" x14ac:dyDescent="0.25">
      <c r="A21" s="9"/>
      <c r="B21" s="7"/>
      <c r="C21" s="7"/>
      <c r="D21" s="12"/>
      <c r="E21" s="12"/>
      <c r="F21" s="12"/>
      <c r="G21" s="12"/>
      <c r="H21" s="12"/>
      <c r="I21" s="186"/>
      <c r="J21" s="196"/>
    </row>
    <row r="22" spans="1:11" x14ac:dyDescent="0.25">
      <c r="A22" s="9"/>
      <c r="B22" s="7" t="s">
        <v>537</v>
      </c>
      <c r="C22" s="7"/>
      <c r="D22" s="12">
        <v>5000</v>
      </c>
      <c r="E22" s="12">
        <f>+F22-D22</f>
        <v>0</v>
      </c>
      <c r="F22" s="12">
        <f>+'25-26 Proj. Actual vs Budget'!F22</f>
        <v>5000</v>
      </c>
      <c r="G22" s="12">
        <v>1500</v>
      </c>
      <c r="H22" s="12">
        <f>+G22-F22</f>
        <v>-3500</v>
      </c>
      <c r="I22" s="186">
        <v>1500</v>
      </c>
      <c r="J22" s="196">
        <f t="shared" si="1"/>
        <v>0</v>
      </c>
      <c r="K22" s="3" t="s">
        <v>435</v>
      </c>
    </row>
    <row r="23" spans="1:11" ht="8.1" customHeight="1" x14ac:dyDescent="0.25">
      <c r="A23" s="9"/>
      <c r="B23" s="7"/>
      <c r="C23" s="7"/>
      <c r="D23" s="12"/>
      <c r="E23" s="12"/>
      <c r="F23" s="12"/>
      <c r="G23" s="12"/>
      <c r="H23" s="12"/>
      <c r="I23" s="186"/>
      <c r="J23" s="196"/>
    </row>
    <row r="24" spans="1:11" s="89" customFormat="1" ht="30" x14ac:dyDescent="0.25">
      <c r="A24" s="148"/>
      <c r="B24" s="89" t="s">
        <v>41</v>
      </c>
      <c r="D24" s="149">
        <v>25000</v>
      </c>
      <c r="E24" s="149">
        <f>+F24-D24</f>
        <v>0</v>
      </c>
      <c r="F24" s="149">
        <f>+'25-26 Proj. Actual vs Budget'!F24</f>
        <v>24999.999999999996</v>
      </c>
      <c r="G24" s="149">
        <v>25000</v>
      </c>
      <c r="H24" s="149">
        <f>+G24-F24</f>
        <v>0</v>
      </c>
      <c r="I24" s="189">
        <v>27500</v>
      </c>
      <c r="J24" s="201">
        <f t="shared" si="1"/>
        <v>-2500</v>
      </c>
      <c r="K24" s="150" t="s">
        <v>433</v>
      </c>
    </row>
    <row r="25" spans="1:11" ht="8.1" customHeight="1" x14ac:dyDescent="0.25">
      <c r="A25" s="9"/>
      <c r="B25" s="7"/>
      <c r="C25" s="7"/>
      <c r="D25" s="12"/>
      <c r="E25" s="12"/>
      <c r="F25" s="12"/>
      <c r="G25" s="12"/>
      <c r="H25" s="12"/>
      <c r="I25" s="186"/>
      <c r="J25" s="196"/>
    </row>
    <row r="26" spans="1:11" s="89" customFormat="1" ht="30" x14ac:dyDescent="0.25">
      <c r="A26" s="148"/>
      <c r="B26" s="89" t="s">
        <v>39</v>
      </c>
      <c r="D26" s="149">
        <v>4900</v>
      </c>
      <c r="E26" s="149">
        <f>+F26-D26</f>
        <v>0</v>
      </c>
      <c r="F26" s="149">
        <f>+'25-26 Proj. Actual vs Budget'!F26</f>
        <v>4900</v>
      </c>
      <c r="G26" s="149">
        <v>7000</v>
      </c>
      <c r="H26" s="149">
        <f>+G26-F26</f>
        <v>2100</v>
      </c>
      <c r="I26" s="189">
        <v>7000</v>
      </c>
      <c r="J26" s="196">
        <f t="shared" si="1"/>
        <v>0</v>
      </c>
      <c r="K26" s="150" t="s">
        <v>429</v>
      </c>
    </row>
    <row r="27" spans="1:11" ht="8.1" customHeight="1" x14ac:dyDescent="0.25">
      <c r="A27" s="9"/>
      <c r="B27" s="7"/>
      <c r="C27" s="7"/>
      <c r="D27" s="12"/>
      <c r="E27" s="12"/>
      <c r="F27" s="12"/>
      <c r="G27" s="12"/>
      <c r="H27" s="12"/>
      <c r="I27" s="186"/>
      <c r="J27" s="196"/>
    </row>
    <row r="28" spans="1:11" x14ac:dyDescent="0.25">
      <c r="A28" s="9"/>
      <c r="B28" s="7" t="s">
        <v>22</v>
      </c>
      <c r="C28" s="7"/>
      <c r="D28" s="12">
        <v>10000</v>
      </c>
      <c r="E28" s="12">
        <f>+F28-D28</f>
        <v>0</v>
      </c>
      <c r="F28" s="12">
        <f>+'25-26 Proj. Actual vs Budget'!F28</f>
        <v>10000</v>
      </c>
      <c r="G28" s="12">
        <v>12500</v>
      </c>
      <c r="H28" s="12">
        <f>+G28-F28</f>
        <v>2500</v>
      </c>
      <c r="I28" s="186">
        <v>12500</v>
      </c>
      <c r="J28" s="196">
        <f t="shared" si="1"/>
        <v>0</v>
      </c>
      <c r="K28" s="1" t="s">
        <v>430</v>
      </c>
    </row>
    <row r="29" spans="1:11" ht="8.1" customHeight="1" x14ac:dyDescent="0.25">
      <c r="A29" s="9"/>
      <c r="B29" s="7"/>
      <c r="C29" s="7"/>
      <c r="D29" s="12"/>
      <c r="E29" s="12"/>
      <c r="F29" s="12"/>
      <c r="G29" s="12"/>
      <c r="H29" s="12"/>
      <c r="I29" s="186"/>
      <c r="J29" s="196"/>
    </row>
    <row r="30" spans="1:11" s="89" customFormat="1" ht="30" customHeight="1" x14ac:dyDescent="0.25">
      <c r="A30" s="148"/>
      <c r="B30" s="89" t="s">
        <v>164</v>
      </c>
      <c r="D30" s="149">
        <v>3700</v>
      </c>
      <c r="E30" s="149">
        <f>+F30-D30</f>
        <v>-1200</v>
      </c>
      <c r="F30" s="149">
        <f>+'25-26 Proj. Actual vs Budget'!F30</f>
        <v>2500</v>
      </c>
      <c r="G30" s="149">
        <v>2500</v>
      </c>
      <c r="H30" s="149">
        <f>+G30-F30</f>
        <v>0</v>
      </c>
      <c r="I30" s="189">
        <v>3500</v>
      </c>
      <c r="J30" s="201">
        <f t="shared" si="1"/>
        <v>-1000</v>
      </c>
      <c r="K30" s="150" t="s">
        <v>436</v>
      </c>
    </row>
    <row r="31" spans="1:11" ht="8.1" customHeight="1" x14ac:dyDescent="0.25">
      <c r="A31" s="9"/>
      <c r="B31" s="7"/>
      <c r="C31" s="7"/>
      <c r="D31" s="12"/>
      <c r="E31" s="12"/>
      <c r="F31" s="12"/>
      <c r="G31" s="12"/>
      <c r="H31" s="12"/>
      <c r="I31" s="186"/>
      <c r="J31" s="196"/>
    </row>
    <row r="32" spans="1:11" x14ac:dyDescent="0.25">
      <c r="A32" s="9"/>
      <c r="B32" s="7" t="s">
        <v>5</v>
      </c>
      <c r="C32" s="7"/>
      <c r="D32" s="12"/>
      <c r="E32" s="12"/>
      <c r="F32" s="12"/>
      <c r="G32" s="12"/>
      <c r="H32" s="12"/>
      <c r="I32" s="186"/>
      <c r="J32" s="196"/>
    </row>
    <row r="33" spans="1:12" x14ac:dyDescent="0.25">
      <c r="A33" s="9"/>
      <c r="B33" s="89"/>
      <c r="C33" s="89" t="s">
        <v>6</v>
      </c>
      <c r="D33" s="12">
        <v>70000</v>
      </c>
      <c r="E33" s="12">
        <f>+F33-D33</f>
        <v>0</v>
      </c>
      <c r="F33" s="12">
        <f>+'25-26 Proj. Actual vs Budget'!F33</f>
        <v>70000</v>
      </c>
      <c r="G33" s="12">
        <v>75000</v>
      </c>
      <c r="H33" s="12">
        <f>+G33-F33</f>
        <v>5000</v>
      </c>
      <c r="I33" s="186">
        <v>75000</v>
      </c>
      <c r="J33" s="196">
        <f t="shared" si="1"/>
        <v>0</v>
      </c>
      <c r="K33" s="1" t="s">
        <v>424</v>
      </c>
    </row>
    <row r="34" spans="1:12" s="89" customFormat="1" ht="30" x14ac:dyDescent="0.25">
      <c r="A34" s="148"/>
      <c r="C34" s="89" t="s">
        <v>7</v>
      </c>
      <c r="D34" s="149">
        <v>4800</v>
      </c>
      <c r="E34" s="149">
        <f>+F34-D34</f>
        <v>104.38999999999942</v>
      </c>
      <c r="F34" s="149">
        <f>+'25-26 Proj. Actual vs Budget'!F34</f>
        <v>4904.3899999999994</v>
      </c>
      <c r="G34" s="149">
        <v>5000</v>
      </c>
      <c r="H34" s="149">
        <f>+G34-F34</f>
        <v>95.610000000000582</v>
      </c>
      <c r="I34" s="189">
        <v>5100</v>
      </c>
      <c r="J34" s="201">
        <f t="shared" si="1"/>
        <v>-100</v>
      </c>
      <c r="K34" s="150" t="s">
        <v>538</v>
      </c>
    </row>
    <row r="35" spans="1:12" x14ac:dyDescent="0.25">
      <c r="A35" s="9"/>
      <c r="B35" s="7"/>
      <c r="C35" s="7" t="s">
        <v>8</v>
      </c>
      <c r="D35" s="12">
        <v>12323.404800000002</v>
      </c>
      <c r="E35" s="12">
        <f>+F35-D35</f>
        <v>-669.40480000000207</v>
      </c>
      <c r="F35" s="12">
        <f>+'25-26 Proj. Actual vs Budget'!F35</f>
        <v>11654</v>
      </c>
      <c r="G35" s="12">
        <v>14000</v>
      </c>
      <c r="H35" s="12">
        <f>+G35-F35</f>
        <v>2346</v>
      </c>
      <c r="I35" s="186">
        <v>13000</v>
      </c>
      <c r="J35" s="196">
        <f t="shared" si="1"/>
        <v>1000</v>
      </c>
      <c r="K35" s="1" t="s">
        <v>577</v>
      </c>
    </row>
    <row r="36" spans="1:12" ht="8.1" customHeight="1" x14ac:dyDescent="0.25">
      <c r="A36" s="9"/>
      <c r="B36" s="7"/>
      <c r="C36" s="7"/>
      <c r="D36" s="12"/>
      <c r="E36" s="12"/>
      <c r="F36" s="12"/>
      <c r="G36" s="12"/>
      <c r="H36" s="12"/>
      <c r="I36" s="186"/>
      <c r="J36" s="196"/>
    </row>
    <row r="37" spans="1:12" x14ac:dyDescent="0.25">
      <c r="A37" s="9"/>
      <c r="B37" s="7" t="s">
        <v>9</v>
      </c>
      <c r="C37" s="7"/>
      <c r="D37" s="12"/>
      <c r="E37" s="12"/>
      <c r="F37" s="12"/>
      <c r="G37" s="12"/>
      <c r="H37" s="12"/>
      <c r="I37" s="186"/>
      <c r="J37" s="196"/>
    </row>
    <row r="38" spans="1:12" x14ac:dyDescent="0.25">
      <c r="A38" s="9"/>
      <c r="B38" s="7"/>
      <c r="C38" s="7" t="s">
        <v>100</v>
      </c>
      <c r="D38" s="12">
        <v>13200</v>
      </c>
      <c r="E38" s="12">
        <f>+F38-D38</f>
        <v>-3200</v>
      </c>
      <c r="F38" s="12">
        <f>+'25-26 Proj. Actual vs Budget'!F38</f>
        <v>10000</v>
      </c>
      <c r="G38" s="12">
        <v>10000</v>
      </c>
      <c r="H38" s="12">
        <f>+G38-F38</f>
        <v>0</v>
      </c>
      <c r="I38" s="186">
        <v>10000</v>
      </c>
      <c r="J38" s="196">
        <f t="shared" si="1"/>
        <v>0</v>
      </c>
      <c r="K38" s="1" t="s">
        <v>434</v>
      </c>
    </row>
    <row r="39" spans="1:12" x14ac:dyDescent="0.25">
      <c r="A39" s="9"/>
      <c r="B39" s="7"/>
      <c r="C39" s="7" t="s">
        <v>432</v>
      </c>
      <c r="D39" s="12"/>
      <c r="E39" s="12"/>
      <c r="F39" s="12">
        <v>0</v>
      </c>
      <c r="G39" s="12">
        <v>10000</v>
      </c>
      <c r="H39" s="12">
        <f>+G39-F39</f>
        <v>10000</v>
      </c>
      <c r="I39" s="186">
        <v>10000</v>
      </c>
      <c r="J39" s="196">
        <f t="shared" si="1"/>
        <v>0</v>
      </c>
      <c r="K39" s="1" t="s">
        <v>431</v>
      </c>
    </row>
    <row r="40" spans="1:12" ht="15" customHeight="1" x14ac:dyDescent="0.25">
      <c r="A40" s="9"/>
      <c r="B40" s="7"/>
      <c r="C40" s="7" t="s">
        <v>10</v>
      </c>
      <c r="D40" s="12">
        <v>3600</v>
      </c>
      <c r="E40" s="12">
        <f>+F40-D40</f>
        <v>0</v>
      </c>
      <c r="F40" s="12">
        <f>+'25-26 Proj. Actual vs Budget'!F39</f>
        <v>3600</v>
      </c>
      <c r="G40" s="12">
        <v>3600</v>
      </c>
      <c r="H40" s="12">
        <f>+G40-F40</f>
        <v>0</v>
      </c>
      <c r="I40" s="186">
        <v>3600</v>
      </c>
      <c r="J40" s="196">
        <f t="shared" si="1"/>
        <v>0</v>
      </c>
      <c r="K40" s="1" t="s">
        <v>170</v>
      </c>
    </row>
    <row r="41" spans="1:12" x14ac:dyDescent="0.25">
      <c r="A41" s="9"/>
      <c r="B41" s="7"/>
      <c r="C41" s="7" t="s">
        <v>11</v>
      </c>
      <c r="D41" s="12">
        <v>7000</v>
      </c>
      <c r="E41" s="12">
        <f>+F41-D41</f>
        <v>0</v>
      </c>
      <c r="F41" s="12">
        <f>+'25-26 Proj. Actual vs Budget'!F40</f>
        <v>7000</v>
      </c>
      <c r="G41" s="12">
        <v>7500</v>
      </c>
      <c r="H41" s="12">
        <f>+G41-F41</f>
        <v>500</v>
      </c>
      <c r="I41" s="186">
        <v>7500</v>
      </c>
      <c r="J41" s="196">
        <f t="shared" si="1"/>
        <v>0</v>
      </c>
      <c r="K41" s="1" t="s">
        <v>437</v>
      </c>
    </row>
    <row r="42" spans="1:12" ht="8.1" customHeight="1" x14ac:dyDescent="0.25">
      <c r="A42" s="9"/>
      <c r="B42" s="7"/>
      <c r="C42" s="7"/>
      <c r="D42" s="12"/>
      <c r="E42" s="12"/>
      <c r="F42" s="12"/>
      <c r="G42" s="12"/>
      <c r="H42" s="12"/>
      <c r="I42" s="186"/>
      <c r="J42" s="196"/>
    </row>
    <row r="43" spans="1:12" x14ac:dyDescent="0.25">
      <c r="A43" s="9"/>
      <c r="B43" s="7" t="s">
        <v>12</v>
      </c>
      <c r="C43" s="7"/>
      <c r="D43" s="12">
        <v>21000</v>
      </c>
      <c r="E43" s="12">
        <f>+F43-D43</f>
        <v>-90</v>
      </c>
      <c r="F43" s="12">
        <f>+'25-26 Proj. Actual vs Budget'!F42</f>
        <v>20910</v>
      </c>
      <c r="G43" s="12">
        <v>21000</v>
      </c>
      <c r="H43" s="12">
        <f>+G43-F43</f>
        <v>90</v>
      </c>
      <c r="I43" s="186">
        <v>21000</v>
      </c>
      <c r="J43" s="196">
        <f t="shared" si="1"/>
        <v>0</v>
      </c>
      <c r="K43" s="1" t="s">
        <v>423</v>
      </c>
    </row>
    <row r="44" spans="1:12" ht="8.1" customHeight="1" x14ac:dyDescent="0.25">
      <c r="A44" s="9"/>
      <c r="B44" s="7"/>
      <c r="C44" s="7"/>
      <c r="D44" s="12"/>
      <c r="E44" s="12"/>
      <c r="F44" s="12"/>
      <c r="G44" s="12"/>
      <c r="H44" s="12"/>
      <c r="I44" s="186"/>
      <c r="J44" s="196"/>
    </row>
    <row r="45" spans="1:12" x14ac:dyDescent="0.25">
      <c r="A45" s="9"/>
      <c r="B45" s="7" t="s">
        <v>101</v>
      </c>
      <c r="C45" s="7"/>
      <c r="D45" s="12">
        <v>9000</v>
      </c>
      <c r="E45" s="12">
        <f>+F45-D45</f>
        <v>981.92000000000007</v>
      </c>
      <c r="F45" s="12">
        <f>+'25-26 Proj. Actual vs Budget'!F44</f>
        <v>9981.92</v>
      </c>
      <c r="G45" s="12">
        <v>13500</v>
      </c>
      <c r="H45" s="12">
        <f>+G45-F45</f>
        <v>3518.08</v>
      </c>
      <c r="I45" s="186">
        <v>13500</v>
      </c>
      <c r="J45" s="196">
        <f t="shared" si="1"/>
        <v>0</v>
      </c>
      <c r="K45" s="1" t="s">
        <v>512</v>
      </c>
    </row>
    <row r="46" spans="1:12" ht="8.1" customHeight="1" x14ac:dyDescent="0.25">
      <c r="A46" s="9"/>
      <c r="B46" s="7"/>
      <c r="C46" s="7"/>
      <c r="D46" s="12"/>
      <c r="E46" s="12"/>
      <c r="F46" s="12"/>
      <c r="G46" s="12"/>
      <c r="H46" s="12"/>
      <c r="I46" s="186"/>
      <c r="J46" s="196"/>
    </row>
    <row r="47" spans="1:12" ht="15" customHeight="1" x14ac:dyDescent="0.25">
      <c r="A47" s="9"/>
      <c r="B47" s="7" t="s">
        <v>25</v>
      </c>
      <c r="C47" s="7"/>
      <c r="D47" s="12">
        <v>3000</v>
      </c>
      <c r="E47" s="12">
        <f>+F47-D47</f>
        <v>-2000.03</v>
      </c>
      <c r="F47" s="12">
        <f>+'25-26 Proj. Actual vs Budget'!F46</f>
        <v>999.97</v>
      </c>
      <c r="G47" s="12">
        <v>2000</v>
      </c>
      <c r="H47" s="12">
        <f>+G47-F47</f>
        <v>1000.03</v>
      </c>
      <c r="I47" s="186">
        <v>2000</v>
      </c>
      <c r="J47" s="196">
        <f t="shared" si="1"/>
        <v>0</v>
      </c>
      <c r="K47" s="1" t="s">
        <v>539</v>
      </c>
      <c r="L47" s="11"/>
    </row>
    <row r="48" spans="1:12" ht="8.1" customHeight="1" x14ac:dyDescent="0.25">
      <c r="A48" s="9"/>
      <c r="B48" s="7"/>
      <c r="C48" s="7"/>
      <c r="D48" s="12"/>
      <c r="E48" s="12"/>
      <c r="F48" s="12"/>
      <c r="G48" s="12"/>
      <c r="H48" s="12"/>
      <c r="I48" s="186"/>
      <c r="J48" s="196"/>
    </row>
    <row r="49" spans="1:12" ht="15" customHeight="1" x14ac:dyDescent="0.25">
      <c r="A49" s="9"/>
      <c r="B49" s="7" t="s">
        <v>333</v>
      </c>
      <c r="C49" s="7"/>
      <c r="D49" s="12"/>
      <c r="E49" s="12"/>
      <c r="F49" s="12"/>
      <c r="G49" s="12"/>
      <c r="H49" s="12"/>
      <c r="I49" s="186"/>
      <c r="J49" s="196"/>
      <c r="K49" s="89"/>
      <c r="L49" s="11"/>
    </row>
    <row r="50" spans="1:12" ht="15" customHeight="1" x14ac:dyDescent="0.25">
      <c r="A50" s="9"/>
      <c r="C50" s="7" t="s">
        <v>49</v>
      </c>
      <c r="D50" s="12">
        <v>21000</v>
      </c>
      <c r="E50" s="12">
        <f>+F50-D50</f>
        <v>0</v>
      </c>
      <c r="F50" s="12">
        <f>+'25-26 Proj. Actual vs Budget'!F49</f>
        <v>21000</v>
      </c>
      <c r="G50" s="12">
        <v>21000</v>
      </c>
      <c r="H50" s="12">
        <f>+G50-F50</f>
        <v>0</v>
      </c>
      <c r="I50" s="186">
        <v>22500</v>
      </c>
      <c r="J50" s="196">
        <f t="shared" si="1"/>
        <v>-1500</v>
      </c>
      <c r="K50" s="89" t="s">
        <v>565</v>
      </c>
      <c r="L50" s="11"/>
    </row>
    <row r="51" spans="1:12" ht="15" customHeight="1" x14ac:dyDescent="0.25">
      <c r="A51" s="9"/>
      <c r="C51" s="7" t="s">
        <v>50</v>
      </c>
      <c r="D51" s="12">
        <v>3750</v>
      </c>
      <c r="E51" s="12">
        <f>+F51-D51</f>
        <v>0</v>
      </c>
      <c r="F51" s="12">
        <f>+'25-26 Proj. Actual vs Budget'!F50</f>
        <v>3750</v>
      </c>
      <c r="G51" s="12">
        <v>4000</v>
      </c>
      <c r="H51" s="12">
        <f>+G51-F51</f>
        <v>250</v>
      </c>
      <c r="I51" s="186">
        <v>4000</v>
      </c>
      <c r="J51" s="196">
        <f t="shared" si="1"/>
        <v>0</v>
      </c>
      <c r="K51" s="89" t="s">
        <v>540</v>
      </c>
    </row>
    <row r="52" spans="1:12" ht="15" customHeight="1" x14ac:dyDescent="0.25">
      <c r="A52" s="9"/>
      <c r="C52" s="7" t="s">
        <v>175</v>
      </c>
      <c r="D52" s="12">
        <v>1000</v>
      </c>
      <c r="E52" s="12">
        <f>+F52-D52</f>
        <v>0</v>
      </c>
      <c r="F52" s="12">
        <f>+'25-26 Proj. Actual vs Budget'!F51</f>
        <v>1000</v>
      </c>
      <c r="G52" s="12">
        <v>0</v>
      </c>
      <c r="H52" s="12">
        <f>+G52-F52</f>
        <v>-1000</v>
      </c>
      <c r="I52" s="186">
        <v>0</v>
      </c>
      <c r="J52" s="196">
        <f t="shared" si="1"/>
        <v>0</v>
      </c>
      <c r="K52" s="89"/>
    </row>
    <row r="53" spans="1:12" ht="8.1" customHeight="1" x14ac:dyDescent="0.25">
      <c r="A53" s="9"/>
      <c r="B53" s="7"/>
      <c r="C53" s="7"/>
      <c r="D53" s="12"/>
      <c r="E53" s="12"/>
      <c r="F53" s="12"/>
      <c r="G53" s="12"/>
      <c r="H53" s="12"/>
      <c r="I53" s="186"/>
      <c r="J53" s="196"/>
    </row>
    <row r="54" spans="1:12" ht="15" customHeight="1" x14ac:dyDescent="0.25">
      <c r="A54" s="9"/>
      <c r="B54" s="7" t="s">
        <v>13</v>
      </c>
      <c r="C54" s="7"/>
      <c r="D54" s="12">
        <v>3500</v>
      </c>
      <c r="E54" s="12">
        <f>+F54-D54</f>
        <v>0</v>
      </c>
      <c r="F54" s="12">
        <f>+'25-26 Proj. Actual vs Budget'!F53</f>
        <v>3500</v>
      </c>
      <c r="G54" s="12">
        <v>3700</v>
      </c>
      <c r="H54" s="12">
        <f>+G54-F54</f>
        <v>200</v>
      </c>
      <c r="I54" s="186">
        <v>3700</v>
      </c>
      <c r="J54" s="196">
        <f t="shared" si="1"/>
        <v>0</v>
      </c>
      <c r="K54" s="1" t="s">
        <v>446</v>
      </c>
    </row>
    <row r="55" spans="1:12" ht="8.1" customHeight="1" x14ac:dyDescent="0.25">
      <c r="A55" s="9"/>
      <c r="B55" s="7"/>
      <c r="C55" s="7"/>
      <c r="D55" s="12"/>
      <c r="E55" s="12"/>
      <c r="F55" s="12"/>
      <c r="G55" s="12"/>
      <c r="H55" s="12"/>
      <c r="I55" s="186"/>
      <c r="J55" s="196"/>
    </row>
    <row r="56" spans="1:12" x14ac:dyDescent="0.25">
      <c r="A56" s="9"/>
      <c r="B56" s="7" t="s">
        <v>14</v>
      </c>
      <c r="C56" s="7"/>
      <c r="D56" s="12">
        <v>18000</v>
      </c>
      <c r="E56" s="12">
        <f>+F56-D56</f>
        <v>-1200</v>
      </c>
      <c r="F56" s="12">
        <f>+'25-26 Proj. Actual vs Budget'!F55</f>
        <v>16800</v>
      </c>
      <c r="G56" s="12">
        <f>1600*12</f>
        <v>19200</v>
      </c>
      <c r="H56" s="12">
        <f>+G56-F56</f>
        <v>2400</v>
      </c>
      <c r="I56" s="186">
        <f>1600*12</f>
        <v>19200</v>
      </c>
      <c r="J56" s="196">
        <f t="shared" si="1"/>
        <v>0</v>
      </c>
      <c r="K56" s="15" t="s">
        <v>422</v>
      </c>
    </row>
    <row r="57" spans="1:12" ht="8.1" customHeight="1" x14ac:dyDescent="0.25">
      <c r="A57" s="9"/>
      <c r="B57" s="7"/>
      <c r="C57" s="7"/>
      <c r="D57" s="12"/>
      <c r="E57" s="12"/>
      <c r="F57" s="12"/>
      <c r="G57" s="12"/>
      <c r="H57" s="12"/>
      <c r="I57" s="186"/>
      <c r="J57" s="196"/>
    </row>
    <row r="58" spans="1:12" ht="30" customHeight="1" x14ac:dyDescent="0.25">
      <c r="A58" s="7"/>
      <c r="B58" s="7" t="s">
        <v>15</v>
      </c>
      <c r="C58" s="7"/>
      <c r="D58" s="12">
        <v>24000</v>
      </c>
      <c r="E58" s="12">
        <f>+F58-D58</f>
        <v>0</v>
      </c>
      <c r="F58" s="12">
        <f>+'25-26 Proj. Actual vs Budget'!F57</f>
        <v>24000</v>
      </c>
      <c r="G58" s="12">
        <f>+'FY26-27 Conferences'!B14</f>
        <v>23200</v>
      </c>
      <c r="H58" s="12">
        <f>+G58-F58</f>
        <v>-800</v>
      </c>
      <c r="I58" s="186">
        <v>24700</v>
      </c>
      <c r="J58" s="196">
        <f t="shared" si="1"/>
        <v>-1500</v>
      </c>
      <c r="K58" s="15" t="s">
        <v>541</v>
      </c>
    </row>
    <row r="59" spans="1:12" ht="8.1" customHeight="1" x14ac:dyDescent="0.25">
      <c r="A59" s="9"/>
      <c r="B59" s="7"/>
      <c r="C59" s="7"/>
      <c r="D59" s="12"/>
      <c r="E59" s="12"/>
      <c r="F59" s="12"/>
      <c r="G59" s="12"/>
      <c r="H59" s="12"/>
      <c r="I59" s="186"/>
      <c r="J59" s="196"/>
    </row>
    <row r="60" spans="1:12" ht="15" customHeight="1" x14ac:dyDescent="0.25">
      <c r="B60" s="7" t="s">
        <v>26</v>
      </c>
      <c r="C60" s="7"/>
      <c r="D60" s="12">
        <v>143170.09100000001</v>
      </c>
      <c r="E60" s="12">
        <f>+F60-D60</f>
        <v>-1315.8000000000175</v>
      </c>
      <c r="F60" s="12">
        <f>+'25-26 Proj. Actual vs Budget'!F59</f>
        <v>141854.291</v>
      </c>
      <c r="G60" s="12">
        <f>+G85</f>
        <v>118800</v>
      </c>
      <c r="H60" s="12">
        <f>+G60-F60</f>
        <v>-23054.290999999997</v>
      </c>
      <c r="I60" s="186">
        <f>+I85</f>
        <v>107300</v>
      </c>
      <c r="J60" s="196">
        <f t="shared" si="1"/>
        <v>11500</v>
      </c>
      <c r="K60" s="1" t="s">
        <v>530</v>
      </c>
    </row>
    <row r="61" spans="1:12" ht="8.1" customHeight="1" x14ac:dyDescent="0.25">
      <c r="C61" s="7"/>
      <c r="D61" s="12"/>
      <c r="E61" s="12"/>
      <c r="F61" s="12"/>
      <c r="G61" s="12"/>
      <c r="H61" s="12"/>
      <c r="I61" s="186"/>
      <c r="J61" s="196"/>
    </row>
    <row r="62" spans="1:12" x14ac:dyDescent="0.25">
      <c r="A62" s="9" t="s">
        <v>16</v>
      </c>
      <c r="C62" s="7"/>
      <c r="D62" s="13">
        <f>SUM(D12:D61)</f>
        <v>546443.49580000003</v>
      </c>
      <c r="E62" s="13">
        <f>SUM(E12:E61)</f>
        <v>-8889.0248000000174</v>
      </c>
      <c r="F62" s="13">
        <f t="shared" ref="F62:G62" si="2">SUM(F12:F61)</f>
        <v>537554.4709999999</v>
      </c>
      <c r="G62" s="13">
        <f t="shared" si="2"/>
        <v>580400</v>
      </c>
      <c r="H62" s="13">
        <f>SUM(H12:H61)</f>
        <v>42845.52900000001</v>
      </c>
      <c r="I62" s="187">
        <f t="shared" ref="I62:J62" si="3">SUM(I12:I61)</f>
        <v>584500</v>
      </c>
      <c r="J62" s="199">
        <f t="shared" si="3"/>
        <v>-4100</v>
      </c>
    </row>
    <row r="63" spans="1:12" ht="8.1" customHeight="1" x14ac:dyDescent="0.25">
      <c r="A63" s="9"/>
      <c r="C63" s="7"/>
      <c r="D63" s="14"/>
      <c r="E63" s="14"/>
      <c r="F63" s="14"/>
      <c r="G63" s="14"/>
      <c r="H63" s="14"/>
      <c r="I63" s="188"/>
      <c r="J63" s="200"/>
    </row>
    <row r="64" spans="1:12" ht="15.75" thickBot="1" x14ac:dyDescent="0.3">
      <c r="A64" s="9" t="s">
        <v>17</v>
      </c>
      <c r="C64" s="3"/>
      <c r="D64" s="16">
        <f>+D9-D62</f>
        <v>0</v>
      </c>
      <c r="E64" s="16">
        <f>+E9-E62</f>
        <v>0.39999999990322976</v>
      </c>
      <c r="F64" s="16">
        <f t="shared" ref="F64:J64" si="4">+F9-F62</f>
        <v>0</v>
      </c>
      <c r="G64" s="16">
        <f t="shared" si="4"/>
        <v>0</v>
      </c>
      <c r="H64" s="16">
        <f>+H9-H62</f>
        <v>8.7311491370201111E-11</v>
      </c>
      <c r="I64" s="190">
        <f t="shared" si="4"/>
        <v>0</v>
      </c>
      <c r="J64" s="202">
        <f t="shared" si="4"/>
        <v>0</v>
      </c>
    </row>
    <row r="65" spans="1:11" ht="15.75" thickTop="1" x14ac:dyDescent="0.25">
      <c r="D65" s="3"/>
      <c r="E65" s="3"/>
      <c r="F65" s="98"/>
      <c r="G65" s="98"/>
      <c r="H65" s="98"/>
      <c r="I65" s="191"/>
      <c r="J65" s="203"/>
    </row>
    <row r="66" spans="1:11" x14ac:dyDescent="0.25">
      <c r="D66" s="3"/>
      <c r="E66" s="3"/>
      <c r="F66" s="98"/>
      <c r="G66" s="98"/>
      <c r="H66" s="98"/>
      <c r="I66" s="191"/>
      <c r="J66" s="203"/>
    </row>
    <row r="67" spans="1:11" x14ac:dyDescent="0.25">
      <c r="D67" s="3"/>
      <c r="E67" s="3"/>
      <c r="F67" s="98"/>
      <c r="G67" s="98"/>
      <c r="H67" s="98"/>
      <c r="I67" s="191"/>
      <c r="J67" s="203"/>
    </row>
    <row r="68" spans="1:11" ht="18.75" x14ac:dyDescent="0.3">
      <c r="A68" s="6" t="s">
        <v>0</v>
      </c>
      <c r="B68" s="10"/>
      <c r="C68" s="10"/>
      <c r="I68" s="192"/>
      <c r="J68" s="64"/>
    </row>
    <row r="69" spans="1:11" ht="18.75" x14ac:dyDescent="0.3">
      <c r="A69" s="6" t="s">
        <v>419</v>
      </c>
      <c r="B69" s="10"/>
      <c r="C69" s="10"/>
      <c r="I69" s="192"/>
      <c r="J69" s="64"/>
    </row>
    <row r="70" spans="1:11" ht="8.1" customHeight="1" x14ac:dyDescent="0.3">
      <c r="D70" s="10"/>
      <c r="E70" s="10"/>
      <c r="F70" s="10"/>
      <c r="G70" s="10"/>
      <c r="H70" s="10"/>
      <c r="I70" s="193"/>
      <c r="J70" s="204"/>
    </row>
    <row r="71" spans="1:11" ht="60" x14ac:dyDescent="0.25">
      <c r="D71" s="4" t="str">
        <f>+D5</f>
        <v>Full Year FY 2025 / 2026
Budget</v>
      </c>
      <c r="E71" s="4" t="s">
        <v>97</v>
      </c>
      <c r="F71" s="4" t="str">
        <f>+F5</f>
        <v>Projected FY 2025/2026 Total</v>
      </c>
      <c r="G71" s="4" t="str">
        <f>+G5</f>
        <v>Updated Drafted FY 2026-2027 Budget</v>
      </c>
      <c r="H71" s="4" t="str">
        <f>+H5</f>
        <v>FY 2026-2027 Budget versus 2025/2026 Projection</v>
      </c>
      <c r="I71" s="184" t="s">
        <v>561</v>
      </c>
      <c r="J71" s="197" t="s">
        <v>576</v>
      </c>
    </row>
    <row r="72" spans="1:11" ht="8.1" customHeight="1" x14ac:dyDescent="0.25">
      <c r="D72" s="4"/>
      <c r="E72" s="4"/>
      <c r="F72" s="4"/>
      <c r="G72" s="4"/>
      <c r="H72" s="4"/>
      <c r="I72" s="184"/>
      <c r="J72" s="197"/>
    </row>
    <row r="73" spans="1:11" x14ac:dyDescent="0.25">
      <c r="A73" s="9" t="s">
        <v>28</v>
      </c>
      <c r="C73" s="3"/>
      <c r="D73" s="14">
        <f>+D60</f>
        <v>143170.09100000001</v>
      </c>
      <c r="E73" s="14">
        <f>+F73-D73</f>
        <v>-1315.8000000000175</v>
      </c>
      <c r="F73" s="12">
        <f>+'25-26 Proj. Actual vs Budget'!F72</f>
        <v>141854.291</v>
      </c>
      <c r="G73" s="14">
        <f>+G60</f>
        <v>118800</v>
      </c>
      <c r="H73" s="12">
        <f>+G73-F73</f>
        <v>-23054.290999999997</v>
      </c>
      <c r="I73" s="188">
        <f>+I60</f>
        <v>107300</v>
      </c>
      <c r="J73" s="200">
        <f>+J60</f>
        <v>11500</v>
      </c>
      <c r="K73" s="61"/>
    </row>
    <row r="74" spans="1:11" ht="8.1" customHeight="1" x14ac:dyDescent="0.25">
      <c r="B74" s="7"/>
      <c r="C74" s="3"/>
      <c r="I74" s="192"/>
      <c r="J74" s="64"/>
    </row>
    <row r="75" spans="1:11" x14ac:dyDescent="0.25">
      <c r="C75" s="7" t="s">
        <v>102</v>
      </c>
      <c r="D75" s="2">
        <v>48000</v>
      </c>
      <c r="E75" s="2">
        <f t="shared" ref="E75:E80" si="5">+F75-D75</f>
        <v>0</v>
      </c>
      <c r="F75" s="12">
        <f>+'25-26 Proj. Actual vs Budget'!F74</f>
        <v>48000</v>
      </c>
      <c r="G75" s="2">
        <v>48000</v>
      </c>
      <c r="H75" s="12">
        <f t="shared" ref="H75:H84" si="6">+G75-F75</f>
        <v>0</v>
      </c>
      <c r="I75" s="194">
        <v>48000</v>
      </c>
      <c r="J75" s="142">
        <f t="shared" ref="J75:J84" si="7">+G75-I75</f>
        <v>0</v>
      </c>
      <c r="K75" s="1" t="s">
        <v>543</v>
      </c>
    </row>
    <row r="76" spans="1:11" x14ac:dyDescent="0.25">
      <c r="C76" s="7" t="s">
        <v>27</v>
      </c>
      <c r="D76" s="2">
        <v>36470.091</v>
      </c>
      <c r="E76" s="2">
        <f t="shared" si="5"/>
        <v>0</v>
      </c>
      <c r="F76" s="12">
        <f>+'25-26 Proj. Actual vs Budget'!F75</f>
        <v>36470.091</v>
      </c>
      <c r="G76" s="2">
        <v>38300</v>
      </c>
      <c r="H76" s="12">
        <f t="shared" si="6"/>
        <v>1829.9089999999997</v>
      </c>
      <c r="I76" s="194">
        <v>38300</v>
      </c>
      <c r="J76" s="142">
        <f t="shared" si="7"/>
        <v>0</v>
      </c>
      <c r="K76" s="1" t="s">
        <v>542</v>
      </c>
    </row>
    <row r="77" spans="1:11" x14ac:dyDescent="0.25">
      <c r="C77" s="7" t="s">
        <v>103</v>
      </c>
      <c r="D77" s="2">
        <v>25000</v>
      </c>
      <c r="E77" s="2">
        <f t="shared" si="5"/>
        <v>6610</v>
      </c>
      <c r="F77" s="12">
        <f>+'25-26 Proj. Actual vs Budget'!F76</f>
        <v>31610</v>
      </c>
      <c r="G77" s="2">
        <v>14000</v>
      </c>
      <c r="H77" s="12">
        <f t="shared" si="6"/>
        <v>-17610</v>
      </c>
      <c r="I77" s="2">
        <v>0</v>
      </c>
      <c r="J77" s="2">
        <f t="shared" si="7"/>
        <v>14000</v>
      </c>
      <c r="K77" s="1" t="s">
        <v>580</v>
      </c>
    </row>
    <row r="78" spans="1:11" x14ac:dyDescent="0.25">
      <c r="C78" s="7" t="s">
        <v>182</v>
      </c>
      <c r="D78" s="2">
        <v>12000</v>
      </c>
      <c r="E78" s="2">
        <f t="shared" si="5"/>
        <v>0</v>
      </c>
      <c r="F78" s="12">
        <f>+'25-26 Proj. Actual vs Budget'!F77</f>
        <v>12000</v>
      </c>
      <c r="G78" s="2">
        <v>0</v>
      </c>
      <c r="H78" s="12">
        <f t="shared" si="6"/>
        <v>-12000</v>
      </c>
      <c r="I78" s="2">
        <v>0</v>
      </c>
      <c r="J78" s="2">
        <f t="shared" si="7"/>
        <v>0</v>
      </c>
    </row>
    <row r="79" spans="1:11" x14ac:dyDescent="0.25">
      <c r="C79" s="7" t="s">
        <v>105</v>
      </c>
      <c r="D79" s="2">
        <v>8000</v>
      </c>
      <c r="E79" s="2">
        <f t="shared" si="5"/>
        <v>0</v>
      </c>
      <c r="F79" s="12">
        <f>+'25-26 Proj. Actual vs Budget'!F79</f>
        <v>8000</v>
      </c>
      <c r="G79" s="2">
        <v>8000</v>
      </c>
      <c r="H79" s="12">
        <f t="shared" si="6"/>
        <v>0</v>
      </c>
      <c r="I79" s="2">
        <v>8000</v>
      </c>
      <c r="J79" s="2">
        <f t="shared" si="7"/>
        <v>0</v>
      </c>
    </row>
    <row r="80" spans="1:11" x14ac:dyDescent="0.25">
      <c r="C80" s="109" t="s">
        <v>106</v>
      </c>
      <c r="D80" s="2">
        <v>6700</v>
      </c>
      <c r="E80" s="2">
        <f t="shared" si="5"/>
        <v>-925.80000000000018</v>
      </c>
      <c r="F80" s="12">
        <f>+'25-26 Proj. Actual vs Budget'!F80</f>
        <v>5774.2</v>
      </c>
      <c r="G80" s="2">
        <v>6000</v>
      </c>
      <c r="H80" s="12">
        <f t="shared" si="6"/>
        <v>225.80000000000018</v>
      </c>
      <c r="I80" s="2">
        <v>6000</v>
      </c>
      <c r="J80" s="2">
        <f t="shared" si="7"/>
        <v>0</v>
      </c>
    </row>
    <row r="81" spans="3:11" x14ac:dyDescent="0.25">
      <c r="C81" s="109" t="s">
        <v>560</v>
      </c>
      <c r="D81" s="2"/>
      <c r="E81" s="2"/>
      <c r="F81" s="12">
        <v>0</v>
      </c>
      <c r="G81" s="2">
        <v>4500</v>
      </c>
      <c r="H81" s="12">
        <f t="shared" si="6"/>
        <v>4500</v>
      </c>
      <c r="I81" s="2">
        <v>0</v>
      </c>
      <c r="J81" s="2">
        <f t="shared" si="7"/>
        <v>4500</v>
      </c>
      <c r="K81" s="1" t="s">
        <v>569</v>
      </c>
    </row>
    <row r="82" spans="3:11" x14ac:dyDescent="0.25">
      <c r="C82" s="109" t="s">
        <v>578</v>
      </c>
      <c r="D82" s="2"/>
      <c r="E82" s="2"/>
      <c r="F82" s="12">
        <v>0</v>
      </c>
      <c r="G82" s="2">
        <v>0</v>
      </c>
      <c r="H82" s="12">
        <f t="shared" si="6"/>
        <v>0</v>
      </c>
      <c r="I82" s="2"/>
      <c r="J82" s="2"/>
      <c r="K82" s="1" t="s">
        <v>581</v>
      </c>
    </row>
    <row r="83" spans="3:11" x14ac:dyDescent="0.25">
      <c r="C83" s="109" t="s">
        <v>108</v>
      </c>
      <c r="D83" s="2">
        <v>4000</v>
      </c>
      <c r="E83" s="2">
        <f>+F83-D83</f>
        <v>-4000</v>
      </c>
      <c r="F83" s="12">
        <f>+'25-26 Proj. Actual vs Budget'!F81</f>
        <v>0</v>
      </c>
      <c r="G83" s="2">
        <v>0</v>
      </c>
      <c r="H83" s="12">
        <f t="shared" si="6"/>
        <v>0</v>
      </c>
      <c r="I83" s="2">
        <v>4000</v>
      </c>
      <c r="J83" s="2">
        <f t="shared" si="7"/>
        <v>-4000</v>
      </c>
      <c r="K83" s="1" t="s">
        <v>581</v>
      </c>
    </row>
    <row r="84" spans="3:11" x14ac:dyDescent="0.25">
      <c r="C84" s="7" t="s">
        <v>184</v>
      </c>
      <c r="D84" s="2">
        <v>3000</v>
      </c>
      <c r="E84" s="2">
        <f>+F84-D84</f>
        <v>-3000</v>
      </c>
      <c r="F84" s="12">
        <f>+'25-26 Proj. Actual vs Budget'!F78</f>
        <v>0</v>
      </c>
      <c r="G84" s="2">
        <v>0</v>
      </c>
      <c r="H84" s="12">
        <f t="shared" si="6"/>
        <v>0</v>
      </c>
      <c r="I84" s="194">
        <v>3000</v>
      </c>
      <c r="J84" s="142">
        <f t="shared" si="7"/>
        <v>-3000</v>
      </c>
      <c r="K84" s="1" t="s">
        <v>568</v>
      </c>
    </row>
    <row r="85" spans="3:11" ht="15.75" thickBot="1" x14ac:dyDescent="0.3">
      <c r="C85" s="34" t="s">
        <v>3</v>
      </c>
      <c r="D85" s="33">
        <f>SUM(D75:D84)</f>
        <v>143170.09100000001</v>
      </c>
      <c r="E85" s="33">
        <f>SUM(E75:E84)</f>
        <v>-1315.8000000000002</v>
      </c>
      <c r="F85" s="33">
        <f t="shared" ref="F85:J85" si="8">SUM(F75:F84)</f>
        <v>141854.29100000003</v>
      </c>
      <c r="G85" s="33">
        <f t="shared" si="8"/>
        <v>118800</v>
      </c>
      <c r="H85" s="33">
        <f>SUM(H75:H84)</f>
        <v>-23054.291000000001</v>
      </c>
      <c r="I85" s="195">
        <f t="shared" si="8"/>
        <v>107300</v>
      </c>
      <c r="J85" s="205">
        <f t="shared" si="8"/>
        <v>11500</v>
      </c>
    </row>
    <row r="86" spans="3:11" ht="15.75" thickTop="1" x14ac:dyDescent="0.25">
      <c r="E86" s="2"/>
    </row>
    <row r="87" spans="3:11" x14ac:dyDescent="0.25">
      <c r="F87" s="71"/>
      <c r="G87" s="71"/>
      <c r="H87" s="71"/>
      <c r="I87" s="71"/>
      <c r="J87" s="71"/>
    </row>
    <row r="88" spans="3:11" x14ac:dyDescent="0.25">
      <c r="F88" s="71"/>
      <c r="G88" s="71"/>
      <c r="H88" s="71"/>
      <c r="I88" s="71"/>
      <c r="J88" s="71"/>
    </row>
    <row r="89" spans="3:11" x14ac:dyDescent="0.25">
      <c r="F89" s="71"/>
      <c r="G89" s="71"/>
      <c r="H89" s="71"/>
      <c r="I89" s="71"/>
      <c r="J89" s="71"/>
    </row>
    <row r="90" spans="3:11" x14ac:dyDescent="0.25">
      <c r="F90" s="71"/>
      <c r="G90" s="71"/>
      <c r="H90" s="71"/>
      <c r="I90" s="71"/>
      <c r="J90" s="71"/>
    </row>
    <row r="91" spans="3:11" x14ac:dyDescent="0.25">
      <c r="F91" s="71"/>
      <c r="G91" s="71"/>
      <c r="H91" s="71"/>
      <c r="I91" s="71"/>
      <c r="J91" s="71"/>
    </row>
  </sheetData>
  <mergeCells count="4">
    <mergeCell ref="A1:K1"/>
    <mergeCell ref="A2:K2"/>
    <mergeCell ref="A3:K3"/>
    <mergeCell ref="A5:C5"/>
  </mergeCells>
  <pageMargins left="0" right="0" top="0.25" bottom="0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C4C9-519C-4A39-B641-26520D02E953}">
  <sheetPr>
    <tabColor theme="7" tint="0.59999389629810485"/>
    <pageSetUpPr fitToPage="1"/>
  </sheetPr>
  <dimension ref="A1:C18"/>
  <sheetViews>
    <sheetView zoomScale="120" zoomScaleNormal="120" workbookViewId="0">
      <selection activeCell="B17" sqref="B17"/>
    </sheetView>
  </sheetViews>
  <sheetFormatPr defaultColWidth="9.140625" defaultRowHeight="15" x14ac:dyDescent="0.25"/>
  <cols>
    <col min="1" max="1" width="51.28515625" style="1" customWidth="1"/>
    <col min="2" max="2" width="11.7109375" style="2" bestFit="1" customWidth="1"/>
    <col min="3" max="3" width="76.140625" style="15" customWidth="1"/>
    <col min="4" max="16384" width="9.140625" style="1"/>
  </cols>
  <sheetData>
    <row r="1" spans="1:3" ht="18.75" x14ac:dyDescent="0.3">
      <c r="A1" s="214" t="s">
        <v>0</v>
      </c>
      <c r="B1" s="214"/>
      <c r="C1" s="214"/>
    </row>
    <row r="2" spans="1:3" ht="18.75" x14ac:dyDescent="0.3">
      <c r="A2" s="214" t="s">
        <v>553</v>
      </c>
      <c r="B2" s="214"/>
      <c r="C2" s="214"/>
    </row>
    <row r="3" spans="1:3" ht="15.75" x14ac:dyDescent="0.25">
      <c r="A3" s="216" t="s">
        <v>558</v>
      </c>
      <c r="B3" s="216"/>
      <c r="C3" s="216"/>
    </row>
    <row r="5" spans="1:3" x14ac:dyDescent="0.25">
      <c r="A5" s="173"/>
      <c r="B5" s="174"/>
    </row>
    <row r="6" spans="1:3" hidden="1" x14ac:dyDescent="0.25">
      <c r="A6" s="175" t="s">
        <v>545</v>
      </c>
      <c r="B6" s="176">
        <v>269947.2</v>
      </c>
      <c r="C6" s="150" t="s">
        <v>546</v>
      </c>
    </row>
    <row r="7" spans="1:3" hidden="1" x14ac:dyDescent="0.25">
      <c r="A7" s="175" t="s">
        <v>547</v>
      </c>
      <c r="B7" s="176">
        <v>519725.32</v>
      </c>
      <c r="C7" s="150" t="s">
        <v>546</v>
      </c>
    </row>
    <row r="8" spans="1:3" hidden="1" x14ac:dyDescent="0.25">
      <c r="A8" s="175" t="s">
        <v>548</v>
      </c>
      <c r="B8" s="177">
        <v>-610086.40000000002</v>
      </c>
      <c r="C8" s="150" t="s">
        <v>546</v>
      </c>
    </row>
    <row r="9" spans="1:3" x14ac:dyDescent="0.25">
      <c r="A9" s="178" t="s">
        <v>549</v>
      </c>
      <c r="B9" s="179">
        <f>SUM(B6:B8)</f>
        <v>179586.12</v>
      </c>
      <c r="C9" s="180" t="s">
        <v>546</v>
      </c>
    </row>
    <row r="10" spans="1:3" ht="7.5" customHeight="1" x14ac:dyDescent="0.25">
      <c r="A10" s="178"/>
      <c r="B10" s="179"/>
      <c r="C10" s="180"/>
    </row>
    <row r="11" spans="1:3" x14ac:dyDescent="0.25">
      <c r="A11" s="148" t="s">
        <v>554</v>
      </c>
      <c r="B11" s="179">
        <f>-+'25-26 Proj. Actual vs Budget'!F8</f>
        <v>-19560.441359999881</v>
      </c>
      <c r="C11" s="180" t="s">
        <v>559</v>
      </c>
    </row>
    <row r="12" spans="1:3" ht="7.5" customHeight="1" x14ac:dyDescent="0.25">
      <c r="A12" s="148"/>
      <c r="B12" s="179"/>
      <c r="C12" s="180"/>
    </row>
    <row r="13" spans="1:3" x14ac:dyDescent="0.25">
      <c r="A13" s="178" t="s">
        <v>555</v>
      </c>
      <c r="B13" s="182">
        <f>+B9+B11</f>
        <v>160025.67864000011</v>
      </c>
      <c r="C13" s="180" t="s">
        <v>552</v>
      </c>
    </row>
    <row r="14" spans="1:3" ht="7.5" customHeight="1" x14ac:dyDescent="0.25">
      <c r="A14" s="178"/>
      <c r="B14" s="179"/>
      <c r="C14" s="180"/>
    </row>
    <row r="15" spans="1:3" ht="30" x14ac:dyDescent="0.25">
      <c r="A15" s="178" t="s">
        <v>550</v>
      </c>
      <c r="B15" s="181">
        <v>100000</v>
      </c>
      <c r="C15" s="180" t="s">
        <v>551</v>
      </c>
    </row>
    <row r="16" spans="1:3" ht="7.5" customHeight="1" x14ac:dyDescent="0.25">
      <c r="A16" s="178"/>
      <c r="B16" s="179"/>
      <c r="C16" s="180"/>
    </row>
    <row r="17" spans="1:3" ht="15.75" thickBot="1" x14ac:dyDescent="0.3">
      <c r="A17" s="148" t="s">
        <v>556</v>
      </c>
      <c r="B17" s="183">
        <f>+B13-B15</f>
        <v>60025.678640000115</v>
      </c>
      <c r="C17" s="180" t="s">
        <v>557</v>
      </c>
    </row>
    <row r="18" spans="1:3" ht="15.75" thickTop="1" x14ac:dyDescent="0.25"/>
  </sheetData>
  <mergeCells count="3">
    <mergeCell ref="A1:C1"/>
    <mergeCell ref="A2:C2"/>
    <mergeCell ref="A3:C3"/>
  </mergeCells>
  <pageMargins left="0.2" right="0.2" top="0.75" bottom="0.75" header="0.3" footer="0.3"/>
  <pageSetup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135B-C784-4522-ADE8-73607B1665FB}">
  <sheetPr>
    <tabColor theme="7" tint="0.59999389629810485"/>
    <pageSetUpPr fitToPage="1"/>
  </sheetPr>
  <dimension ref="A1:L90"/>
  <sheetViews>
    <sheetView zoomScale="130" zoomScaleNormal="130" workbookViewId="0">
      <pane ySplit="5" topLeftCell="A6" activePane="bottomLeft" state="frozen"/>
      <selection activeCell="H16" sqref="H16"/>
      <selection pane="bottomLeft" activeCell="H16" sqref="H16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4" style="1" customWidth="1"/>
    <col min="4" max="10" width="13.7109375" style="1" customWidth="1"/>
    <col min="11" max="11" width="76.85546875" style="1" customWidth="1"/>
    <col min="12" max="13" width="8.85546875" style="1"/>
    <col min="14" max="14" width="9.5703125" style="1" bestFit="1" customWidth="1"/>
    <col min="15" max="16384" width="8.85546875" style="1"/>
  </cols>
  <sheetData>
    <row r="1" spans="1:11" ht="18.75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8.75" x14ac:dyDescent="0.3">
      <c r="A2" s="214" t="s">
        <v>418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x14ac:dyDescent="0.25">
      <c r="A3" s="215" t="s">
        <v>574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ht="8.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60" x14ac:dyDescent="0.25">
      <c r="A5" s="215" t="s">
        <v>20</v>
      </c>
      <c r="B5" s="215"/>
      <c r="C5" s="215"/>
      <c r="D5" s="4" t="s">
        <v>149</v>
      </c>
      <c r="E5" s="4" t="s">
        <v>115</v>
      </c>
      <c r="F5" s="4" t="s">
        <v>414</v>
      </c>
      <c r="G5" s="197" t="s">
        <v>570</v>
      </c>
      <c r="H5" s="4" t="s">
        <v>417</v>
      </c>
      <c r="I5" s="184" t="s">
        <v>562</v>
      </c>
      <c r="J5" s="197" t="s">
        <v>576</v>
      </c>
      <c r="K5" s="4" t="s">
        <v>47</v>
      </c>
    </row>
    <row r="6" spans="1:11" x14ac:dyDescent="0.25">
      <c r="A6" s="9" t="s">
        <v>19</v>
      </c>
      <c r="B6" s="7"/>
      <c r="C6" s="7"/>
      <c r="D6" s="8"/>
      <c r="E6" s="8"/>
      <c r="F6" s="8"/>
      <c r="G6" s="198"/>
      <c r="H6" s="8"/>
      <c r="I6" s="185"/>
      <c r="J6" s="198"/>
    </row>
    <row r="7" spans="1:11" x14ac:dyDescent="0.25">
      <c r="A7" s="7"/>
      <c r="B7" s="7"/>
      <c r="C7" s="7" t="s">
        <v>40</v>
      </c>
      <c r="D7" s="12">
        <v>500000</v>
      </c>
      <c r="E7" s="12">
        <f>+F7-D7</f>
        <v>17994.029640000022</v>
      </c>
      <c r="F7" s="12">
        <f>+'25-26 Proj. Actual vs Budget'!F7</f>
        <v>517994.02964000002</v>
      </c>
      <c r="G7" s="196">
        <v>515000</v>
      </c>
      <c r="H7" s="12">
        <f>+G7-F7</f>
        <v>-2994.0296400000225</v>
      </c>
      <c r="I7" s="186">
        <v>515000</v>
      </c>
      <c r="J7" s="196">
        <f>+G7-I7</f>
        <v>0</v>
      </c>
      <c r="K7" s="1" t="s">
        <v>425</v>
      </c>
    </row>
    <row r="8" spans="1:11" x14ac:dyDescent="0.25">
      <c r="A8" s="9"/>
      <c r="B8" s="7"/>
      <c r="C8" s="7" t="s">
        <v>23</v>
      </c>
      <c r="D8" s="12">
        <v>46443.495800000019</v>
      </c>
      <c r="E8" s="12">
        <f>+F8-D8+0.4</f>
        <v>-26882.654440000137</v>
      </c>
      <c r="F8" s="12">
        <f>+'25-26 Proj. Actual vs Budget'!F8</f>
        <v>19560.441359999881</v>
      </c>
      <c r="G8" s="209">
        <f>69500+16500-16500+900-100-15000+100</f>
        <v>55400</v>
      </c>
      <c r="H8" s="12">
        <f>+G8-F8</f>
        <v>35839.558640000119</v>
      </c>
      <c r="I8" s="186">
        <v>69500</v>
      </c>
      <c r="J8" s="196">
        <f>+G8-I8</f>
        <v>-14100</v>
      </c>
      <c r="K8" s="15" t="s">
        <v>544</v>
      </c>
    </row>
    <row r="9" spans="1:11" x14ac:dyDescent="0.25">
      <c r="A9" s="9" t="s">
        <v>18</v>
      </c>
      <c r="B9" s="7"/>
      <c r="C9" s="7"/>
      <c r="D9" s="13">
        <f t="shared" ref="D9:E9" si="0">SUM(D7:D8)</f>
        <v>546443.49580000003</v>
      </c>
      <c r="E9" s="13">
        <f t="shared" si="0"/>
        <v>-8888.6248000001142</v>
      </c>
      <c r="F9" s="13">
        <f t="shared" ref="F9" si="1">SUM(F7:F8)</f>
        <v>537554.4709999999</v>
      </c>
      <c r="G9" s="199">
        <f t="shared" ref="G9:I9" si="2">SUM(G7:G8)</f>
        <v>570400</v>
      </c>
      <c r="H9" s="13">
        <f>SUM(H7:H8)</f>
        <v>32845.529000000097</v>
      </c>
      <c r="I9" s="187">
        <f t="shared" si="2"/>
        <v>584500</v>
      </c>
      <c r="J9" s="199">
        <f t="shared" ref="J9" si="3">SUM(J7:J8)</f>
        <v>-14100</v>
      </c>
      <c r="K9" s="61"/>
    </row>
    <row r="10" spans="1:11" ht="8.1" customHeight="1" x14ac:dyDescent="0.25">
      <c r="A10" s="9"/>
      <c r="B10" s="7"/>
      <c r="C10" s="7"/>
      <c r="D10" s="14"/>
      <c r="E10" s="14"/>
      <c r="F10" s="14"/>
      <c r="G10" s="200"/>
      <c r="H10" s="14"/>
      <c r="I10" s="188"/>
      <c r="J10" s="200"/>
    </row>
    <row r="11" spans="1:11" x14ac:dyDescent="0.25">
      <c r="A11" s="9" t="s">
        <v>4</v>
      </c>
      <c r="B11" s="7"/>
      <c r="C11" s="7"/>
      <c r="D11" s="12"/>
      <c r="E11" s="12"/>
      <c r="F11" s="12"/>
      <c r="G11" s="196"/>
      <c r="H11" s="12"/>
      <c r="I11" s="186"/>
      <c r="J11" s="196"/>
    </row>
    <row r="12" spans="1:11" ht="15" customHeight="1" x14ac:dyDescent="0.25">
      <c r="A12" s="9"/>
      <c r="B12" s="7" t="s">
        <v>98</v>
      </c>
      <c r="C12" s="7"/>
      <c r="D12" s="12">
        <v>60000</v>
      </c>
      <c r="E12" s="12">
        <f>+F12-D12</f>
        <v>0</v>
      </c>
      <c r="F12" s="12">
        <f>+'25-26 Proj. Actual vs Budget'!F12</f>
        <v>60000</v>
      </c>
      <c r="G12" s="196">
        <v>65000</v>
      </c>
      <c r="H12" s="12">
        <f>+G12-F12</f>
        <v>5000</v>
      </c>
      <c r="I12" s="186">
        <v>65000</v>
      </c>
      <c r="J12" s="196">
        <f t="shared" ref="J12:J60" si="4">+G12-I12</f>
        <v>0</v>
      </c>
      <c r="K12" s="1" t="s">
        <v>563</v>
      </c>
    </row>
    <row r="13" spans="1:11" ht="8.1" customHeight="1" x14ac:dyDescent="0.25">
      <c r="A13" s="9"/>
      <c r="B13" s="7"/>
      <c r="C13" s="7"/>
      <c r="D13" s="12"/>
      <c r="E13" s="12"/>
      <c r="F13" s="12"/>
      <c r="G13" s="196"/>
      <c r="H13" s="12"/>
      <c r="I13" s="186"/>
      <c r="J13" s="196"/>
    </row>
    <row r="14" spans="1:11" x14ac:dyDescent="0.25">
      <c r="A14" s="9"/>
      <c r="B14" s="7" t="s">
        <v>534</v>
      </c>
      <c r="D14" s="12">
        <v>5000</v>
      </c>
      <c r="E14" s="12">
        <f>+F14-D14</f>
        <v>0</v>
      </c>
      <c r="F14" s="12">
        <f>+'25-26 Proj. Actual vs Budget'!F14</f>
        <v>5000</v>
      </c>
      <c r="G14" s="196">
        <v>40000</v>
      </c>
      <c r="H14" s="12">
        <f>+G14-F14</f>
        <v>35000</v>
      </c>
      <c r="I14" s="186">
        <v>40000</v>
      </c>
      <c r="J14" s="196">
        <f t="shared" si="4"/>
        <v>0</v>
      </c>
      <c r="K14" s="1" t="s">
        <v>564</v>
      </c>
    </row>
    <row r="15" spans="1:11" ht="8.1" customHeight="1" x14ac:dyDescent="0.25">
      <c r="A15" s="9"/>
      <c r="B15" s="7"/>
      <c r="C15" s="7"/>
      <c r="D15" s="12"/>
      <c r="E15" s="12"/>
      <c r="F15" s="12"/>
      <c r="G15" s="196"/>
      <c r="H15" s="12"/>
      <c r="I15" s="186"/>
      <c r="J15" s="196"/>
    </row>
    <row r="16" spans="1:11" s="89" customFormat="1" ht="45" x14ac:dyDescent="0.25">
      <c r="A16" s="148"/>
      <c r="B16" s="89" t="s">
        <v>99</v>
      </c>
      <c r="D16" s="149">
        <v>60000</v>
      </c>
      <c r="E16" s="149">
        <f>+F16-D16</f>
        <v>-9.9999999998544808E-2</v>
      </c>
      <c r="F16" s="149">
        <f>+'25-26 Proj. Actual vs Budget'!F16</f>
        <v>59999.9</v>
      </c>
      <c r="G16" s="201">
        <v>65000</v>
      </c>
      <c r="H16" s="149">
        <f>+G16-F16</f>
        <v>5000.0999999999985</v>
      </c>
      <c r="I16" s="189">
        <v>65000</v>
      </c>
      <c r="J16" s="201">
        <f t="shared" si="4"/>
        <v>0</v>
      </c>
      <c r="K16" s="151" t="s">
        <v>427</v>
      </c>
    </row>
    <row r="17" spans="1:11" ht="8.1" customHeight="1" x14ac:dyDescent="0.25">
      <c r="A17" s="9"/>
      <c r="B17" s="7"/>
      <c r="C17" s="7"/>
      <c r="D17" s="12"/>
      <c r="E17" s="12"/>
      <c r="F17" s="12"/>
      <c r="G17" s="196"/>
      <c r="H17" s="12"/>
      <c r="I17" s="186"/>
      <c r="J17" s="196"/>
    </row>
    <row r="18" spans="1:11" s="89" customFormat="1" ht="30" customHeight="1" x14ac:dyDescent="0.25">
      <c r="A18" s="148"/>
      <c r="B18" s="89" t="s">
        <v>536</v>
      </c>
      <c r="D18" s="149">
        <v>10000</v>
      </c>
      <c r="E18" s="149">
        <f>+F18-D18</f>
        <v>0</v>
      </c>
      <c r="F18" s="149">
        <f>+'25-26 Proj. Actual vs Budget'!F18</f>
        <v>10000</v>
      </c>
      <c r="G18" s="201">
        <v>5000</v>
      </c>
      <c r="H18" s="149">
        <f>+G18-F18</f>
        <v>-5000</v>
      </c>
      <c r="I18" s="189">
        <v>15000</v>
      </c>
      <c r="J18" s="201">
        <f t="shared" si="4"/>
        <v>-10000</v>
      </c>
      <c r="K18" s="150" t="s">
        <v>535</v>
      </c>
    </row>
    <row r="19" spans="1:11" ht="8.1" customHeight="1" x14ac:dyDescent="0.25">
      <c r="A19" s="9"/>
      <c r="B19" s="7"/>
      <c r="C19" s="7"/>
      <c r="D19" s="12"/>
      <c r="E19" s="12"/>
      <c r="F19" s="12"/>
      <c r="G19" s="196"/>
      <c r="H19" s="12"/>
      <c r="I19" s="186"/>
      <c r="J19" s="196"/>
    </row>
    <row r="20" spans="1:11" x14ac:dyDescent="0.25">
      <c r="A20" s="9"/>
      <c r="B20" s="7" t="s">
        <v>38</v>
      </c>
      <c r="D20" s="12">
        <v>4500</v>
      </c>
      <c r="E20" s="12">
        <f>+F20-D20</f>
        <v>-300</v>
      </c>
      <c r="F20" s="12">
        <f>+'25-26 Proj. Actual vs Budget'!F20</f>
        <v>4200</v>
      </c>
      <c r="G20" s="196">
        <f>450*12</f>
        <v>5400</v>
      </c>
      <c r="H20" s="12">
        <f>+G20-F20</f>
        <v>1200</v>
      </c>
      <c r="I20" s="186">
        <f>450*12</f>
        <v>5400</v>
      </c>
      <c r="J20" s="196">
        <f t="shared" si="4"/>
        <v>0</v>
      </c>
      <c r="K20" s="1" t="s">
        <v>513</v>
      </c>
    </row>
    <row r="21" spans="1:11" ht="8.1" customHeight="1" x14ac:dyDescent="0.25">
      <c r="A21" s="9"/>
      <c r="B21" s="7"/>
      <c r="C21" s="7"/>
      <c r="D21" s="12"/>
      <c r="E21" s="12"/>
      <c r="F21" s="12"/>
      <c r="G21" s="196"/>
      <c r="H21" s="12"/>
      <c r="I21" s="186"/>
      <c r="J21" s="196"/>
    </row>
    <row r="22" spans="1:11" x14ac:dyDescent="0.25">
      <c r="A22" s="9"/>
      <c r="B22" s="7" t="s">
        <v>537</v>
      </c>
      <c r="C22" s="7"/>
      <c r="D22" s="12">
        <v>5000</v>
      </c>
      <c r="E22" s="12">
        <f>+F22-D22</f>
        <v>0</v>
      </c>
      <c r="F22" s="12">
        <f>+'25-26 Proj. Actual vs Budget'!F22</f>
        <v>5000</v>
      </c>
      <c r="G22" s="196">
        <v>1500</v>
      </c>
      <c r="H22" s="12">
        <f>+G22-F22</f>
        <v>-3500</v>
      </c>
      <c r="I22" s="186">
        <v>1500</v>
      </c>
      <c r="J22" s="196">
        <f t="shared" si="4"/>
        <v>0</v>
      </c>
      <c r="K22" s="3" t="s">
        <v>435</v>
      </c>
    </row>
    <row r="23" spans="1:11" ht="8.1" customHeight="1" x14ac:dyDescent="0.25">
      <c r="A23" s="9"/>
      <c r="B23" s="7"/>
      <c r="C23" s="7"/>
      <c r="D23" s="12"/>
      <c r="E23" s="12"/>
      <c r="F23" s="12"/>
      <c r="G23" s="196"/>
      <c r="H23" s="12"/>
      <c r="I23" s="186"/>
      <c r="J23" s="196"/>
    </row>
    <row r="24" spans="1:11" s="89" customFormat="1" ht="30" x14ac:dyDescent="0.25">
      <c r="A24" s="148"/>
      <c r="B24" s="89" t="s">
        <v>41</v>
      </c>
      <c r="D24" s="149">
        <v>25000</v>
      </c>
      <c r="E24" s="149">
        <f>+F24-D24</f>
        <v>0</v>
      </c>
      <c r="F24" s="149">
        <f>+'25-26 Proj. Actual vs Budget'!F24</f>
        <v>24999.999999999996</v>
      </c>
      <c r="G24" s="201">
        <v>25000</v>
      </c>
      <c r="H24" s="149">
        <f>+G24-F24</f>
        <v>0</v>
      </c>
      <c r="I24" s="189">
        <v>27500</v>
      </c>
      <c r="J24" s="201">
        <f t="shared" si="4"/>
        <v>-2500</v>
      </c>
      <c r="K24" s="150" t="s">
        <v>433</v>
      </c>
    </row>
    <row r="25" spans="1:11" ht="8.1" customHeight="1" x14ac:dyDescent="0.25">
      <c r="A25" s="9"/>
      <c r="B25" s="7"/>
      <c r="C25" s="7"/>
      <c r="D25" s="12"/>
      <c r="E25" s="12"/>
      <c r="F25" s="12"/>
      <c r="G25" s="196"/>
      <c r="H25" s="12"/>
      <c r="I25" s="186"/>
      <c r="J25" s="196"/>
    </row>
    <row r="26" spans="1:11" s="89" customFormat="1" ht="30" x14ac:dyDescent="0.25">
      <c r="A26" s="148"/>
      <c r="B26" s="89" t="s">
        <v>39</v>
      </c>
      <c r="D26" s="149">
        <v>4900</v>
      </c>
      <c r="E26" s="149">
        <f>+F26-D26</f>
        <v>0</v>
      </c>
      <c r="F26" s="149">
        <f>+'25-26 Proj. Actual vs Budget'!F26</f>
        <v>4900</v>
      </c>
      <c r="G26" s="201">
        <v>7000</v>
      </c>
      <c r="H26" s="149">
        <f>+G26-F26</f>
        <v>2100</v>
      </c>
      <c r="I26" s="189">
        <v>7000</v>
      </c>
      <c r="J26" s="196">
        <f t="shared" si="4"/>
        <v>0</v>
      </c>
      <c r="K26" s="150" t="s">
        <v>429</v>
      </c>
    </row>
    <row r="27" spans="1:11" ht="8.1" customHeight="1" x14ac:dyDescent="0.25">
      <c r="A27" s="9"/>
      <c r="B27" s="7"/>
      <c r="C27" s="7"/>
      <c r="D27" s="12"/>
      <c r="E27" s="12"/>
      <c r="F27" s="12"/>
      <c r="G27" s="196"/>
      <c r="H27" s="12"/>
      <c r="I27" s="186"/>
      <c r="J27" s="196"/>
    </row>
    <row r="28" spans="1:11" x14ac:dyDescent="0.25">
      <c r="A28" s="9"/>
      <c r="B28" s="7" t="s">
        <v>22</v>
      </c>
      <c r="C28" s="7"/>
      <c r="D28" s="12">
        <v>10000</v>
      </c>
      <c r="E28" s="12">
        <f>+F28-D28</f>
        <v>0</v>
      </c>
      <c r="F28" s="12">
        <f>+'25-26 Proj. Actual vs Budget'!F28</f>
        <v>10000</v>
      </c>
      <c r="G28" s="196">
        <v>12500</v>
      </c>
      <c r="H28" s="12">
        <f>+G28-F28</f>
        <v>2500</v>
      </c>
      <c r="I28" s="186">
        <v>12500</v>
      </c>
      <c r="J28" s="196">
        <f t="shared" si="4"/>
        <v>0</v>
      </c>
      <c r="K28" s="1" t="s">
        <v>430</v>
      </c>
    </row>
    <row r="29" spans="1:11" ht="8.1" customHeight="1" x14ac:dyDescent="0.25">
      <c r="A29" s="9"/>
      <c r="B29" s="7"/>
      <c r="C29" s="7"/>
      <c r="D29" s="12"/>
      <c r="E29" s="12"/>
      <c r="F29" s="12"/>
      <c r="G29" s="196"/>
      <c r="H29" s="12"/>
      <c r="I29" s="186"/>
      <c r="J29" s="196"/>
    </row>
    <row r="30" spans="1:11" s="89" customFormat="1" ht="30" customHeight="1" x14ac:dyDescent="0.25">
      <c r="A30" s="148"/>
      <c r="B30" s="89" t="s">
        <v>164</v>
      </c>
      <c r="D30" s="149">
        <v>3700</v>
      </c>
      <c r="E30" s="149">
        <f>+F30-D30</f>
        <v>-1200</v>
      </c>
      <c r="F30" s="149">
        <f>+'25-26 Proj. Actual vs Budget'!F30</f>
        <v>2500</v>
      </c>
      <c r="G30" s="201">
        <v>2500</v>
      </c>
      <c r="H30" s="149">
        <f>+G30-F30</f>
        <v>0</v>
      </c>
      <c r="I30" s="189">
        <v>3500</v>
      </c>
      <c r="J30" s="201">
        <f t="shared" si="4"/>
        <v>-1000</v>
      </c>
      <c r="K30" s="150" t="s">
        <v>436</v>
      </c>
    </row>
    <row r="31" spans="1:11" ht="8.1" customHeight="1" x14ac:dyDescent="0.25">
      <c r="A31" s="9"/>
      <c r="B31" s="7"/>
      <c r="C31" s="7"/>
      <c r="D31" s="12"/>
      <c r="E31" s="12"/>
      <c r="F31" s="12"/>
      <c r="G31" s="196"/>
      <c r="H31" s="12"/>
      <c r="I31" s="186"/>
      <c r="J31" s="196"/>
    </row>
    <row r="32" spans="1:11" x14ac:dyDescent="0.25">
      <c r="A32" s="9"/>
      <c r="B32" s="7" t="s">
        <v>5</v>
      </c>
      <c r="C32" s="7"/>
      <c r="D32" s="12"/>
      <c r="E32" s="12"/>
      <c r="F32" s="12"/>
      <c r="G32" s="196"/>
      <c r="H32" s="12"/>
      <c r="I32" s="186"/>
      <c r="J32" s="196"/>
    </row>
    <row r="33" spans="1:12" x14ac:dyDescent="0.25">
      <c r="A33" s="9"/>
      <c r="B33" s="89"/>
      <c r="C33" s="89" t="s">
        <v>6</v>
      </c>
      <c r="D33" s="12">
        <v>70000</v>
      </c>
      <c r="E33" s="12">
        <f>+F33-D33</f>
        <v>0</v>
      </c>
      <c r="F33" s="12">
        <f>+'25-26 Proj. Actual vs Budget'!F33</f>
        <v>70000</v>
      </c>
      <c r="G33" s="196">
        <v>75000</v>
      </c>
      <c r="H33" s="12">
        <f>+G33-F33</f>
        <v>5000</v>
      </c>
      <c r="I33" s="186">
        <v>75000</v>
      </c>
      <c r="J33" s="196">
        <f t="shared" si="4"/>
        <v>0</v>
      </c>
      <c r="K33" s="1" t="s">
        <v>424</v>
      </c>
    </row>
    <row r="34" spans="1:12" s="89" customFormat="1" ht="30" x14ac:dyDescent="0.25">
      <c r="A34" s="148"/>
      <c r="C34" s="89" t="s">
        <v>7</v>
      </c>
      <c r="D34" s="149">
        <v>4800</v>
      </c>
      <c r="E34" s="149">
        <f>+F34-D34</f>
        <v>104.38999999999942</v>
      </c>
      <c r="F34" s="149">
        <f>+'25-26 Proj. Actual vs Budget'!F34</f>
        <v>4904.3899999999994</v>
      </c>
      <c r="G34" s="210">
        <v>5000</v>
      </c>
      <c r="H34" s="149">
        <f>+G34-F34</f>
        <v>95.610000000000582</v>
      </c>
      <c r="I34" s="189">
        <v>5100</v>
      </c>
      <c r="J34" s="201">
        <f t="shared" si="4"/>
        <v>-100</v>
      </c>
      <c r="K34" s="150" t="s">
        <v>538</v>
      </c>
    </row>
    <row r="35" spans="1:12" x14ac:dyDescent="0.25">
      <c r="A35" s="9"/>
      <c r="B35" s="7"/>
      <c r="C35" s="7" t="s">
        <v>8</v>
      </c>
      <c r="D35" s="12">
        <v>12323.404800000002</v>
      </c>
      <c r="E35" s="12">
        <f>+F35-D35</f>
        <v>-669.40480000000207</v>
      </c>
      <c r="F35" s="12">
        <f>+'25-26 Proj. Actual vs Budget'!F35</f>
        <v>11654</v>
      </c>
      <c r="G35" s="209">
        <v>14000</v>
      </c>
      <c r="H35" s="12">
        <f>+G35-F35</f>
        <v>2346</v>
      </c>
      <c r="I35" s="186">
        <v>13000</v>
      </c>
      <c r="J35" s="196">
        <f t="shared" si="4"/>
        <v>1000</v>
      </c>
      <c r="K35" s="1" t="s">
        <v>577</v>
      </c>
    </row>
    <row r="36" spans="1:12" ht="8.1" customHeight="1" x14ac:dyDescent="0.25">
      <c r="A36" s="9"/>
      <c r="B36" s="7"/>
      <c r="C36" s="7"/>
      <c r="D36" s="12"/>
      <c r="E36" s="12"/>
      <c r="F36" s="12"/>
      <c r="G36" s="196"/>
      <c r="H36" s="12"/>
      <c r="I36" s="186"/>
      <c r="J36" s="196"/>
    </row>
    <row r="37" spans="1:12" x14ac:dyDescent="0.25">
      <c r="A37" s="9"/>
      <c r="B37" s="7" t="s">
        <v>9</v>
      </c>
      <c r="C37" s="7"/>
      <c r="D37" s="12"/>
      <c r="E37" s="12"/>
      <c r="F37" s="12"/>
      <c r="G37" s="196"/>
      <c r="H37" s="12"/>
      <c r="I37" s="186"/>
      <c r="J37" s="196"/>
    </row>
    <row r="38" spans="1:12" x14ac:dyDescent="0.25">
      <c r="A38" s="9"/>
      <c r="B38" s="7"/>
      <c r="C38" s="7" t="s">
        <v>100</v>
      </c>
      <c r="D38" s="12">
        <v>13200</v>
      </c>
      <c r="E38" s="12">
        <f>+F38-D38</f>
        <v>-3200</v>
      </c>
      <c r="F38" s="12">
        <f>+'25-26 Proj. Actual vs Budget'!F38</f>
        <v>10000</v>
      </c>
      <c r="G38" s="196">
        <v>10000</v>
      </c>
      <c r="H38" s="12">
        <f>+G38-F38</f>
        <v>0</v>
      </c>
      <c r="I38" s="186">
        <v>10000</v>
      </c>
      <c r="J38" s="196">
        <f t="shared" si="4"/>
        <v>0</v>
      </c>
      <c r="K38" s="1" t="s">
        <v>434</v>
      </c>
    </row>
    <row r="39" spans="1:12" x14ac:dyDescent="0.25">
      <c r="A39" s="9"/>
      <c r="B39" s="7"/>
      <c r="C39" s="7" t="s">
        <v>432</v>
      </c>
      <c r="D39" s="12"/>
      <c r="E39" s="12"/>
      <c r="F39" s="12">
        <v>0</v>
      </c>
      <c r="G39" s="196">
        <v>10000</v>
      </c>
      <c r="H39" s="12">
        <f>+G39-F39</f>
        <v>10000</v>
      </c>
      <c r="I39" s="186">
        <v>10000</v>
      </c>
      <c r="J39" s="196">
        <f t="shared" si="4"/>
        <v>0</v>
      </c>
      <c r="K39" s="1" t="s">
        <v>431</v>
      </c>
    </row>
    <row r="40" spans="1:12" ht="15" customHeight="1" x14ac:dyDescent="0.25">
      <c r="A40" s="9"/>
      <c r="B40" s="7"/>
      <c r="C40" s="7" t="s">
        <v>10</v>
      </c>
      <c r="D40" s="12">
        <v>3600</v>
      </c>
      <c r="E40" s="12">
        <f>+F40-D40</f>
        <v>0</v>
      </c>
      <c r="F40" s="12">
        <f>+'25-26 Proj. Actual vs Budget'!F39</f>
        <v>3600</v>
      </c>
      <c r="G40" s="196">
        <v>3600</v>
      </c>
      <c r="H40" s="12">
        <f>+G40-F40</f>
        <v>0</v>
      </c>
      <c r="I40" s="186">
        <v>3600</v>
      </c>
      <c r="J40" s="196">
        <f t="shared" si="4"/>
        <v>0</v>
      </c>
      <c r="K40" s="1" t="s">
        <v>170</v>
      </c>
    </row>
    <row r="41" spans="1:12" x14ac:dyDescent="0.25">
      <c r="A41" s="9"/>
      <c r="B41" s="7"/>
      <c r="C41" s="7" t="s">
        <v>11</v>
      </c>
      <c r="D41" s="12">
        <v>7000</v>
      </c>
      <c r="E41" s="12">
        <f>+F41-D41</f>
        <v>0</v>
      </c>
      <c r="F41" s="12">
        <f>+'25-26 Proj. Actual vs Budget'!F40</f>
        <v>7000</v>
      </c>
      <c r="G41" s="196">
        <v>7500</v>
      </c>
      <c r="H41" s="12">
        <f>+G41-F41</f>
        <v>500</v>
      </c>
      <c r="I41" s="186">
        <v>7500</v>
      </c>
      <c r="J41" s="196">
        <f t="shared" si="4"/>
        <v>0</v>
      </c>
      <c r="K41" s="1" t="s">
        <v>437</v>
      </c>
    </row>
    <row r="42" spans="1:12" ht="8.1" customHeight="1" x14ac:dyDescent="0.25">
      <c r="A42" s="9"/>
      <c r="B42" s="7"/>
      <c r="C42" s="7"/>
      <c r="D42" s="12"/>
      <c r="E42" s="12"/>
      <c r="F42" s="12"/>
      <c r="G42" s="196"/>
      <c r="H42" s="12"/>
      <c r="I42" s="186"/>
      <c r="J42" s="196"/>
    </row>
    <row r="43" spans="1:12" x14ac:dyDescent="0.25">
      <c r="A43" s="9"/>
      <c r="B43" s="7" t="s">
        <v>12</v>
      </c>
      <c r="C43" s="7"/>
      <c r="D43" s="12">
        <v>21000</v>
      </c>
      <c r="E43" s="12">
        <f>+F43-D43</f>
        <v>-90</v>
      </c>
      <c r="F43" s="12">
        <f>+'25-26 Proj. Actual vs Budget'!F42</f>
        <v>20910</v>
      </c>
      <c r="G43" s="196">
        <v>21000</v>
      </c>
      <c r="H43" s="12">
        <f>+G43-F43</f>
        <v>90</v>
      </c>
      <c r="I43" s="186">
        <v>21000</v>
      </c>
      <c r="J43" s="196">
        <f t="shared" si="4"/>
        <v>0</v>
      </c>
      <c r="K43" s="1" t="s">
        <v>423</v>
      </c>
    </row>
    <row r="44" spans="1:12" ht="8.1" customHeight="1" x14ac:dyDescent="0.25">
      <c r="A44" s="9"/>
      <c r="B44" s="7"/>
      <c r="C44" s="7"/>
      <c r="D44" s="12"/>
      <c r="E44" s="12"/>
      <c r="F44" s="12"/>
      <c r="G44" s="196"/>
      <c r="H44" s="12"/>
      <c r="I44" s="186"/>
      <c r="J44" s="196"/>
    </row>
    <row r="45" spans="1:12" x14ac:dyDescent="0.25">
      <c r="A45" s="9"/>
      <c r="B45" s="7" t="s">
        <v>101</v>
      </c>
      <c r="C45" s="7"/>
      <c r="D45" s="12">
        <v>9000</v>
      </c>
      <c r="E45" s="12">
        <f>+F45-D45</f>
        <v>981.92000000000007</v>
      </c>
      <c r="F45" s="12">
        <f>+'25-26 Proj. Actual vs Budget'!F44</f>
        <v>9981.92</v>
      </c>
      <c r="G45" s="196">
        <v>13500</v>
      </c>
      <c r="H45" s="12">
        <f>+G45-F45</f>
        <v>3518.08</v>
      </c>
      <c r="I45" s="186">
        <v>13500</v>
      </c>
      <c r="J45" s="196">
        <f t="shared" si="4"/>
        <v>0</v>
      </c>
      <c r="K45" s="1" t="s">
        <v>512</v>
      </c>
    </row>
    <row r="46" spans="1:12" ht="8.1" customHeight="1" x14ac:dyDescent="0.25">
      <c r="A46" s="9"/>
      <c r="B46" s="7"/>
      <c r="C46" s="7"/>
      <c r="D46" s="12"/>
      <c r="E46" s="12"/>
      <c r="F46" s="12"/>
      <c r="G46" s="196"/>
      <c r="H46" s="12"/>
      <c r="I46" s="186"/>
      <c r="J46" s="196"/>
    </row>
    <row r="47" spans="1:12" ht="15" customHeight="1" x14ac:dyDescent="0.25">
      <c r="A47" s="9"/>
      <c r="B47" s="7" t="s">
        <v>25</v>
      </c>
      <c r="C47" s="7"/>
      <c r="D47" s="12">
        <v>3000</v>
      </c>
      <c r="E47" s="12">
        <f>+F47-D47</f>
        <v>-2000.03</v>
      </c>
      <c r="F47" s="12">
        <f>+'25-26 Proj. Actual vs Budget'!F46</f>
        <v>999.97</v>
      </c>
      <c r="G47" s="196">
        <v>2000</v>
      </c>
      <c r="H47" s="12">
        <f>+G47-F47</f>
        <v>1000.03</v>
      </c>
      <c r="I47" s="186">
        <v>2000</v>
      </c>
      <c r="J47" s="196">
        <f t="shared" si="4"/>
        <v>0</v>
      </c>
      <c r="K47" s="1" t="s">
        <v>539</v>
      </c>
      <c r="L47" s="11"/>
    </row>
    <row r="48" spans="1:12" ht="8.1" customHeight="1" x14ac:dyDescent="0.25">
      <c r="A48" s="9"/>
      <c r="B48" s="7"/>
      <c r="C48" s="7"/>
      <c r="D48" s="12"/>
      <c r="E48" s="12"/>
      <c r="F48" s="12"/>
      <c r="G48" s="196"/>
      <c r="H48" s="12"/>
      <c r="I48" s="186"/>
      <c r="J48" s="196"/>
    </row>
    <row r="49" spans="1:12" ht="15" customHeight="1" x14ac:dyDescent="0.25">
      <c r="A49" s="9"/>
      <c r="B49" s="7" t="s">
        <v>333</v>
      </c>
      <c r="C49" s="7"/>
      <c r="D49" s="12"/>
      <c r="E49" s="12"/>
      <c r="F49" s="12"/>
      <c r="G49" s="196"/>
      <c r="H49" s="12"/>
      <c r="I49" s="186"/>
      <c r="J49" s="196"/>
      <c r="K49" s="89"/>
      <c r="L49" s="11"/>
    </row>
    <row r="50" spans="1:12" ht="15" customHeight="1" x14ac:dyDescent="0.25">
      <c r="A50" s="9"/>
      <c r="C50" s="7" t="s">
        <v>49</v>
      </c>
      <c r="D50" s="12">
        <v>21000</v>
      </c>
      <c r="E50" s="12">
        <f>+F50-D50</f>
        <v>0</v>
      </c>
      <c r="F50" s="12">
        <f>+'25-26 Proj. Actual vs Budget'!F49</f>
        <v>21000</v>
      </c>
      <c r="G50" s="196">
        <v>21000</v>
      </c>
      <c r="H50" s="12">
        <f>+G50-F50</f>
        <v>0</v>
      </c>
      <c r="I50" s="186">
        <v>22500</v>
      </c>
      <c r="J50" s="196">
        <f t="shared" si="4"/>
        <v>-1500</v>
      </c>
      <c r="K50" s="89" t="s">
        <v>565</v>
      </c>
      <c r="L50" s="11"/>
    </row>
    <row r="51" spans="1:12" ht="15" customHeight="1" x14ac:dyDescent="0.25">
      <c r="A51" s="9"/>
      <c r="C51" s="7" t="s">
        <v>50</v>
      </c>
      <c r="D51" s="12">
        <v>3750</v>
      </c>
      <c r="E51" s="12">
        <f>+F51-D51</f>
        <v>0</v>
      </c>
      <c r="F51" s="12">
        <f>+'25-26 Proj. Actual vs Budget'!F50</f>
        <v>3750</v>
      </c>
      <c r="G51" s="196">
        <v>4000</v>
      </c>
      <c r="H51" s="12">
        <f>+G51-F51</f>
        <v>250</v>
      </c>
      <c r="I51" s="186">
        <v>4000</v>
      </c>
      <c r="J51" s="196">
        <f t="shared" si="4"/>
        <v>0</v>
      </c>
      <c r="K51" s="89" t="s">
        <v>540</v>
      </c>
    </row>
    <row r="52" spans="1:12" ht="15" customHeight="1" x14ac:dyDescent="0.25">
      <c r="A52" s="9"/>
      <c r="C52" s="7" t="s">
        <v>175</v>
      </c>
      <c r="D52" s="12">
        <v>1000</v>
      </c>
      <c r="E52" s="12">
        <f>+F52-D52</f>
        <v>0</v>
      </c>
      <c r="F52" s="12">
        <f>+'25-26 Proj. Actual vs Budget'!F51</f>
        <v>1000</v>
      </c>
      <c r="G52" s="196">
        <v>0</v>
      </c>
      <c r="H52" s="12">
        <f>+G52-F52</f>
        <v>-1000</v>
      </c>
      <c r="I52" s="186">
        <v>0</v>
      </c>
      <c r="J52" s="196">
        <f t="shared" si="4"/>
        <v>0</v>
      </c>
      <c r="K52" s="89"/>
    </row>
    <row r="53" spans="1:12" ht="8.1" customHeight="1" x14ac:dyDescent="0.25">
      <c r="A53" s="9"/>
      <c r="B53" s="7"/>
      <c r="C53" s="7"/>
      <c r="D53" s="12"/>
      <c r="E53" s="12"/>
      <c r="F53" s="12"/>
      <c r="G53" s="196"/>
      <c r="H53" s="12"/>
      <c r="I53" s="186"/>
      <c r="J53" s="196"/>
    </row>
    <row r="54" spans="1:12" ht="15" customHeight="1" x14ac:dyDescent="0.25">
      <c r="A54" s="9"/>
      <c r="B54" s="7" t="s">
        <v>13</v>
      </c>
      <c r="C54" s="7"/>
      <c r="D54" s="12">
        <v>3500</v>
      </c>
      <c r="E54" s="12">
        <f>+F54-D54</f>
        <v>0</v>
      </c>
      <c r="F54" s="12">
        <f>+'25-26 Proj. Actual vs Budget'!F53</f>
        <v>3500</v>
      </c>
      <c r="G54" s="196">
        <v>3700</v>
      </c>
      <c r="H54" s="12">
        <f>+G54-F54</f>
        <v>200</v>
      </c>
      <c r="I54" s="186">
        <v>3700</v>
      </c>
      <c r="J54" s="196">
        <f t="shared" si="4"/>
        <v>0</v>
      </c>
      <c r="K54" s="1" t="s">
        <v>446</v>
      </c>
    </row>
    <row r="55" spans="1:12" ht="8.1" customHeight="1" x14ac:dyDescent="0.25">
      <c r="A55" s="9"/>
      <c r="B55" s="7"/>
      <c r="C55" s="7"/>
      <c r="D55" s="12"/>
      <c r="E55" s="12"/>
      <c r="F55" s="12"/>
      <c r="G55" s="196"/>
      <c r="H55" s="12"/>
      <c r="I55" s="186"/>
      <c r="J55" s="196"/>
    </row>
    <row r="56" spans="1:12" x14ac:dyDescent="0.25">
      <c r="A56" s="9"/>
      <c r="B56" s="7" t="s">
        <v>14</v>
      </c>
      <c r="C56" s="7"/>
      <c r="D56" s="12">
        <v>18000</v>
      </c>
      <c r="E56" s="12">
        <f>+F56-D56</f>
        <v>-1200</v>
      </c>
      <c r="F56" s="12">
        <f>+'25-26 Proj. Actual vs Budget'!F55</f>
        <v>16800</v>
      </c>
      <c r="G56" s="196">
        <f>1600*12</f>
        <v>19200</v>
      </c>
      <c r="H56" s="12">
        <f>+G56-F56</f>
        <v>2400</v>
      </c>
      <c r="I56" s="186">
        <f>1600*12</f>
        <v>19200</v>
      </c>
      <c r="J56" s="196">
        <f t="shared" si="4"/>
        <v>0</v>
      </c>
      <c r="K56" s="15" t="s">
        <v>422</v>
      </c>
    </row>
    <row r="57" spans="1:12" ht="8.1" customHeight="1" x14ac:dyDescent="0.25">
      <c r="A57" s="9"/>
      <c r="B57" s="7"/>
      <c r="C57" s="7"/>
      <c r="D57" s="12"/>
      <c r="E57" s="12"/>
      <c r="F57" s="12"/>
      <c r="G57" s="196"/>
      <c r="H57" s="12"/>
      <c r="I57" s="186"/>
      <c r="J57" s="196"/>
    </row>
    <row r="58" spans="1:12" ht="30" customHeight="1" x14ac:dyDescent="0.25">
      <c r="A58" s="7"/>
      <c r="B58" s="7" t="s">
        <v>15</v>
      </c>
      <c r="C58" s="7"/>
      <c r="D58" s="12">
        <v>24000</v>
      </c>
      <c r="E58" s="12">
        <f>+F58-D58</f>
        <v>0</v>
      </c>
      <c r="F58" s="12">
        <f>+'25-26 Proj. Actual vs Budget'!F57</f>
        <v>24000</v>
      </c>
      <c r="G58" s="196">
        <f>+'FY26-27 Conferences'!B14</f>
        <v>23200</v>
      </c>
      <c r="H58" s="12">
        <f>+G58-F58</f>
        <v>-800</v>
      </c>
      <c r="I58" s="186">
        <v>24700</v>
      </c>
      <c r="J58" s="196">
        <f t="shared" si="4"/>
        <v>-1500</v>
      </c>
      <c r="K58" s="15" t="s">
        <v>541</v>
      </c>
    </row>
    <row r="59" spans="1:12" ht="8.1" customHeight="1" x14ac:dyDescent="0.25">
      <c r="A59" s="9"/>
      <c r="B59" s="7"/>
      <c r="C59" s="7"/>
      <c r="D59" s="12"/>
      <c r="E59" s="12"/>
      <c r="F59" s="12"/>
      <c r="G59" s="196"/>
      <c r="H59" s="12"/>
      <c r="I59" s="186"/>
      <c r="J59" s="196"/>
    </row>
    <row r="60" spans="1:12" ht="15" customHeight="1" x14ac:dyDescent="0.25">
      <c r="B60" s="7" t="s">
        <v>26</v>
      </c>
      <c r="C60" s="7"/>
      <c r="D60" s="12">
        <v>143170.09100000001</v>
      </c>
      <c r="E60" s="12">
        <f>+F60-D60</f>
        <v>-1315.8000000000175</v>
      </c>
      <c r="F60" s="12">
        <f>+'25-26 Proj. Actual vs Budget'!F59</f>
        <v>141854.291</v>
      </c>
      <c r="G60" s="196">
        <f>+G84</f>
        <v>108800</v>
      </c>
      <c r="H60" s="12">
        <f>+G60-F60</f>
        <v>-33054.290999999997</v>
      </c>
      <c r="I60" s="186">
        <f>+I84</f>
        <v>107300</v>
      </c>
      <c r="J60" s="196">
        <f t="shared" si="4"/>
        <v>1500</v>
      </c>
      <c r="K60" s="1" t="s">
        <v>530</v>
      </c>
    </row>
    <row r="61" spans="1:12" ht="8.1" customHeight="1" x14ac:dyDescent="0.25">
      <c r="C61" s="7"/>
      <c r="D61" s="12"/>
      <c r="E61" s="12"/>
      <c r="F61" s="12"/>
      <c r="G61" s="196"/>
      <c r="H61" s="12"/>
      <c r="I61" s="186"/>
      <c r="J61" s="196"/>
    </row>
    <row r="62" spans="1:12" x14ac:dyDescent="0.25">
      <c r="A62" s="9" t="s">
        <v>16</v>
      </c>
      <c r="C62" s="7"/>
      <c r="D62" s="13">
        <f>SUM(D12:D61)</f>
        <v>546443.49580000003</v>
      </c>
      <c r="E62" s="13">
        <f>SUM(E12:E61)</f>
        <v>-8889.0248000000174</v>
      </c>
      <c r="F62" s="13">
        <f t="shared" ref="F62:G62" si="5">SUM(F12:F61)</f>
        <v>537554.4709999999</v>
      </c>
      <c r="G62" s="199">
        <f t="shared" si="5"/>
        <v>570400</v>
      </c>
      <c r="H62" s="13">
        <f>SUM(H12:H61)</f>
        <v>32845.52900000001</v>
      </c>
      <c r="I62" s="187">
        <f t="shared" ref="I62:J62" si="6">SUM(I12:I61)</f>
        <v>584500</v>
      </c>
      <c r="J62" s="199">
        <f t="shared" si="6"/>
        <v>-14100</v>
      </c>
    </row>
    <row r="63" spans="1:12" ht="8.1" customHeight="1" x14ac:dyDescent="0.25">
      <c r="A63" s="9"/>
      <c r="C63" s="7"/>
      <c r="D63" s="14"/>
      <c r="E63" s="14"/>
      <c r="F63" s="14"/>
      <c r="G63" s="200"/>
      <c r="H63" s="14"/>
      <c r="I63" s="188"/>
      <c r="J63" s="200"/>
    </row>
    <row r="64" spans="1:12" ht="15.75" thickBot="1" x14ac:dyDescent="0.3">
      <c r="A64" s="9" t="s">
        <v>17</v>
      </c>
      <c r="C64" s="3"/>
      <c r="D64" s="16">
        <f>+D9-D62</f>
        <v>0</v>
      </c>
      <c r="E64" s="16">
        <f>+E9-E62</f>
        <v>0.39999999990322976</v>
      </c>
      <c r="F64" s="16">
        <f t="shared" ref="F64" si="7">+F9-F62</f>
        <v>0</v>
      </c>
      <c r="G64" s="202">
        <f t="shared" ref="G64:I64" si="8">+G9-G62</f>
        <v>0</v>
      </c>
      <c r="H64" s="16">
        <f>+H9-H62</f>
        <v>8.7311491370201111E-11</v>
      </c>
      <c r="I64" s="190">
        <f t="shared" si="8"/>
        <v>0</v>
      </c>
      <c r="J64" s="202">
        <f t="shared" ref="J64" si="9">+J9-J62</f>
        <v>0</v>
      </c>
    </row>
    <row r="65" spans="1:11" ht="15.75" thickTop="1" x14ac:dyDescent="0.25">
      <c r="D65" s="3"/>
      <c r="E65" s="3"/>
      <c r="F65" s="98"/>
      <c r="G65" s="203"/>
      <c r="H65" s="98"/>
      <c r="I65" s="191"/>
      <c r="J65" s="203"/>
    </row>
    <row r="66" spans="1:11" x14ac:dyDescent="0.25">
      <c r="D66" s="3"/>
      <c r="E66" s="3"/>
      <c r="F66" s="98"/>
      <c r="G66" s="203"/>
      <c r="H66" s="98"/>
      <c r="I66" s="191"/>
      <c r="J66" s="203"/>
    </row>
    <row r="67" spans="1:11" x14ac:dyDescent="0.25">
      <c r="D67" s="3"/>
      <c r="E67" s="3"/>
      <c r="F67" s="98"/>
      <c r="G67" s="203"/>
      <c r="H67" s="98"/>
      <c r="I67" s="191"/>
      <c r="J67" s="203"/>
    </row>
    <row r="68" spans="1:11" ht="18.75" x14ac:dyDescent="0.3">
      <c r="A68" s="6" t="s">
        <v>0</v>
      </c>
      <c r="B68" s="10"/>
      <c r="C68" s="10"/>
      <c r="G68" s="64"/>
      <c r="I68" s="192"/>
      <c r="J68" s="64"/>
    </row>
    <row r="69" spans="1:11" ht="18.75" x14ac:dyDescent="0.3">
      <c r="A69" s="6" t="s">
        <v>419</v>
      </c>
      <c r="B69" s="10"/>
      <c r="C69" s="10"/>
      <c r="G69" s="64"/>
      <c r="I69" s="192"/>
      <c r="J69" s="64"/>
    </row>
    <row r="70" spans="1:11" ht="8.1" customHeight="1" x14ac:dyDescent="0.3">
      <c r="D70" s="10"/>
      <c r="E70" s="10"/>
      <c r="F70" s="10"/>
      <c r="G70" s="204"/>
      <c r="H70" s="10"/>
      <c r="I70" s="193"/>
      <c r="J70" s="204"/>
    </row>
    <row r="71" spans="1:11" ht="60" x14ac:dyDescent="0.25">
      <c r="D71" s="4" t="str">
        <f>+D5</f>
        <v>Full Year FY 2025 / 2026
Budget</v>
      </c>
      <c r="E71" s="4" t="s">
        <v>97</v>
      </c>
      <c r="F71" s="4" t="str">
        <f>+F5</f>
        <v>Projected FY 2025/2026 Total</v>
      </c>
      <c r="G71" s="197" t="str">
        <f>+G5</f>
        <v>Updated Drafted FY 2026-2027 Budget</v>
      </c>
      <c r="H71" s="4" t="str">
        <f>+H5</f>
        <v>FY 2026-2027 Budget versus 2025/2026 Projection</v>
      </c>
      <c r="I71" s="184" t="s">
        <v>561</v>
      </c>
      <c r="J71" s="197" t="s">
        <v>576</v>
      </c>
    </row>
    <row r="72" spans="1:11" ht="8.1" customHeight="1" x14ac:dyDescent="0.25">
      <c r="D72" s="4"/>
      <c r="E72" s="4"/>
      <c r="F72" s="4"/>
      <c r="G72" s="197"/>
      <c r="H72" s="4"/>
      <c r="I72" s="184"/>
      <c r="J72" s="197"/>
    </row>
    <row r="73" spans="1:11" x14ac:dyDescent="0.25">
      <c r="A73" s="9" t="s">
        <v>28</v>
      </c>
      <c r="C73" s="3"/>
      <c r="D73" s="14">
        <f>+D60</f>
        <v>143170.09100000001</v>
      </c>
      <c r="E73" s="14">
        <f>+F73-D73</f>
        <v>-1315.8000000000175</v>
      </c>
      <c r="F73" s="12">
        <f>+'25-26 Proj. Actual vs Budget'!F72</f>
        <v>141854.291</v>
      </c>
      <c r="G73" s="200">
        <f>+G60</f>
        <v>108800</v>
      </c>
      <c r="H73" s="12">
        <f>+G73-F73</f>
        <v>-33054.290999999997</v>
      </c>
      <c r="I73" s="188">
        <f>+I60</f>
        <v>107300</v>
      </c>
      <c r="J73" s="200">
        <f>+J60</f>
        <v>1500</v>
      </c>
      <c r="K73" s="61"/>
    </row>
    <row r="74" spans="1:11" ht="8.1" customHeight="1" x14ac:dyDescent="0.25">
      <c r="B74" s="7"/>
      <c r="C74" s="3"/>
      <c r="G74" s="64"/>
      <c r="I74" s="192"/>
      <c r="J74" s="64"/>
    </row>
    <row r="75" spans="1:11" x14ac:dyDescent="0.25">
      <c r="C75" s="7" t="s">
        <v>102</v>
      </c>
      <c r="D75" s="2">
        <v>48000</v>
      </c>
      <c r="E75" s="2">
        <f t="shared" ref="E75:E80" si="10">+F75-D75</f>
        <v>0</v>
      </c>
      <c r="F75" s="12">
        <f>+'25-26 Proj. Actual vs Budget'!F74</f>
        <v>48000</v>
      </c>
      <c r="G75" s="142">
        <v>48000</v>
      </c>
      <c r="H75" s="12">
        <f t="shared" ref="H75:H83" si="11">+G75-F75</f>
        <v>0</v>
      </c>
      <c r="I75" s="194">
        <v>48000</v>
      </c>
      <c r="J75" s="142">
        <f t="shared" ref="J75:J83" si="12">+G75-I75</f>
        <v>0</v>
      </c>
      <c r="K75" s="1" t="s">
        <v>543</v>
      </c>
    </row>
    <row r="76" spans="1:11" x14ac:dyDescent="0.25">
      <c r="C76" s="7" t="s">
        <v>27</v>
      </c>
      <c r="D76" s="2">
        <v>36470.091</v>
      </c>
      <c r="E76" s="2">
        <f t="shared" si="10"/>
        <v>0</v>
      </c>
      <c r="F76" s="12">
        <f>+'25-26 Proj. Actual vs Budget'!F75</f>
        <v>36470.091</v>
      </c>
      <c r="G76" s="142">
        <v>38300</v>
      </c>
      <c r="H76" s="12">
        <f t="shared" si="11"/>
        <v>1829.9089999999997</v>
      </c>
      <c r="I76" s="194">
        <v>38300</v>
      </c>
      <c r="J76" s="142">
        <f t="shared" si="12"/>
        <v>0</v>
      </c>
      <c r="K76" s="1" t="s">
        <v>542</v>
      </c>
    </row>
    <row r="77" spans="1:11" x14ac:dyDescent="0.25">
      <c r="C77" s="7" t="s">
        <v>103</v>
      </c>
      <c r="D77" s="2">
        <v>25000</v>
      </c>
      <c r="E77" s="2">
        <f t="shared" si="10"/>
        <v>6610</v>
      </c>
      <c r="F77" s="12">
        <f>+'25-26 Proj. Actual vs Budget'!F76</f>
        <v>31610</v>
      </c>
      <c r="G77" s="208">
        <v>0</v>
      </c>
      <c r="H77" s="12">
        <f t="shared" si="11"/>
        <v>-31610</v>
      </c>
      <c r="I77" s="194">
        <v>0</v>
      </c>
      <c r="J77" s="142">
        <f t="shared" si="12"/>
        <v>0</v>
      </c>
      <c r="K77" s="212" t="s">
        <v>575</v>
      </c>
    </row>
    <row r="78" spans="1:11" x14ac:dyDescent="0.25">
      <c r="C78" s="7" t="s">
        <v>182</v>
      </c>
      <c r="D78" s="2">
        <v>12000</v>
      </c>
      <c r="E78" s="2">
        <f t="shared" si="10"/>
        <v>0</v>
      </c>
      <c r="F78" s="12">
        <f>+'25-26 Proj. Actual vs Budget'!F77</f>
        <v>12000</v>
      </c>
      <c r="G78" s="142">
        <v>0</v>
      </c>
      <c r="H78" s="12">
        <f t="shared" si="11"/>
        <v>-12000</v>
      </c>
      <c r="I78" s="194">
        <v>0</v>
      </c>
      <c r="J78" s="142">
        <f t="shared" si="12"/>
        <v>0</v>
      </c>
    </row>
    <row r="79" spans="1:11" x14ac:dyDescent="0.25">
      <c r="C79" s="7" t="s">
        <v>105</v>
      </c>
      <c r="D79" s="2">
        <v>8000</v>
      </c>
      <c r="E79" s="2">
        <f t="shared" si="10"/>
        <v>0</v>
      </c>
      <c r="F79" s="12">
        <f>+'25-26 Proj. Actual vs Budget'!F79</f>
        <v>8000</v>
      </c>
      <c r="G79" s="142">
        <v>8000</v>
      </c>
      <c r="H79" s="12">
        <f t="shared" si="11"/>
        <v>0</v>
      </c>
      <c r="I79" s="194">
        <v>8000</v>
      </c>
      <c r="J79" s="142">
        <f t="shared" si="12"/>
        <v>0</v>
      </c>
    </row>
    <row r="80" spans="1:11" x14ac:dyDescent="0.25">
      <c r="C80" s="109" t="s">
        <v>106</v>
      </c>
      <c r="D80" s="2">
        <v>6700</v>
      </c>
      <c r="E80" s="2">
        <f t="shared" si="10"/>
        <v>-925.80000000000018</v>
      </c>
      <c r="F80" s="12">
        <f>+'25-26 Proj. Actual vs Budget'!F80</f>
        <v>5774.2</v>
      </c>
      <c r="G80" s="142">
        <v>6000</v>
      </c>
      <c r="H80" s="12">
        <f t="shared" si="11"/>
        <v>225.80000000000018</v>
      </c>
      <c r="I80" s="194">
        <v>6000</v>
      </c>
      <c r="J80" s="142">
        <f t="shared" si="12"/>
        <v>0</v>
      </c>
    </row>
    <row r="81" spans="3:11" x14ac:dyDescent="0.25">
      <c r="C81" s="109" t="s">
        <v>560</v>
      </c>
      <c r="D81" s="2"/>
      <c r="E81" s="2"/>
      <c r="F81" s="12">
        <v>0</v>
      </c>
      <c r="G81" s="142">
        <v>4500</v>
      </c>
      <c r="H81" s="12">
        <f t="shared" si="11"/>
        <v>4500</v>
      </c>
      <c r="I81" s="194">
        <v>0</v>
      </c>
      <c r="J81" s="142">
        <f t="shared" si="12"/>
        <v>4500</v>
      </c>
      <c r="K81" s="1" t="s">
        <v>569</v>
      </c>
    </row>
    <row r="82" spans="3:11" x14ac:dyDescent="0.25">
      <c r="C82" s="109" t="s">
        <v>108</v>
      </c>
      <c r="D82" s="2">
        <v>4000</v>
      </c>
      <c r="E82" s="2">
        <f>+F82-D82</f>
        <v>-4000</v>
      </c>
      <c r="F82" s="12">
        <f>+'25-26 Proj. Actual vs Budget'!F81</f>
        <v>0</v>
      </c>
      <c r="G82" s="142">
        <v>4000</v>
      </c>
      <c r="H82" s="12">
        <f t="shared" si="11"/>
        <v>4000</v>
      </c>
      <c r="I82" s="194">
        <v>4000</v>
      </c>
      <c r="J82" s="142">
        <f t="shared" si="12"/>
        <v>0</v>
      </c>
    </row>
    <row r="83" spans="3:11" x14ac:dyDescent="0.25">
      <c r="C83" s="7" t="s">
        <v>184</v>
      </c>
      <c r="D83" s="2">
        <v>3000</v>
      </c>
      <c r="E83" s="2">
        <f>+F83-D83</f>
        <v>-3000</v>
      </c>
      <c r="F83" s="12">
        <f>+'25-26 Proj. Actual vs Budget'!F78</f>
        <v>0</v>
      </c>
      <c r="G83" s="142">
        <v>0</v>
      </c>
      <c r="H83" s="12">
        <f t="shared" si="11"/>
        <v>0</v>
      </c>
      <c r="I83" s="194">
        <v>3000</v>
      </c>
      <c r="J83" s="142">
        <f t="shared" si="12"/>
        <v>-3000</v>
      </c>
      <c r="K83" s="1" t="s">
        <v>568</v>
      </c>
    </row>
    <row r="84" spans="3:11" ht="15.75" thickBot="1" x14ac:dyDescent="0.3">
      <c r="C84" s="34" t="s">
        <v>3</v>
      </c>
      <c r="D84" s="33">
        <f>SUM(D75:D83)</f>
        <v>143170.09100000001</v>
      </c>
      <c r="E84" s="33">
        <f>SUM(E75:E83)</f>
        <v>-1315.8000000000002</v>
      </c>
      <c r="F84" s="33">
        <f t="shared" ref="F84:I84" si="13">SUM(F75:F83)</f>
        <v>141854.29100000003</v>
      </c>
      <c r="G84" s="205">
        <f t="shared" si="13"/>
        <v>108800</v>
      </c>
      <c r="H84" s="33">
        <f>SUM(H75:H83)</f>
        <v>-33054.290999999997</v>
      </c>
      <c r="I84" s="195">
        <f t="shared" si="13"/>
        <v>107300</v>
      </c>
      <c r="J84" s="205">
        <f t="shared" ref="J84" si="14">SUM(J75:J83)</f>
        <v>1500</v>
      </c>
    </row>
    <row r="85" spans="3:11" ht="15.75" thickTop="1" x14ac:dyDescent="0.25">
      <c r="E85" s="2"/>
    </row>
    <row r="86" spans="3:11" x14ac:dyDescent="0.25">
      <c r="F86" s="71"/>
      <c r="G86" s="71"/>
      <c r="H86" s="71"/>
      <c r="I86" s="71"/>
      <c r="J86" s="71"/>
    </row>
    <row r="87" spans="3:11" x14ac:dyDescent="0.25">
      <c r="F87" s="71"/>
      <c r="G87" s="71"/>
      <c r="H87" s="71"/>
      <c r="I87" s="71"/>
      <c r="J87" s="71"/>
    </row>
    <row r="88" spans="3:11" x14ac:dyDescent="0.25">
      <c r="F88" s="71"/>
      <c r="G88" s="71"/>
      <c r="H88" s="71"/>
      <c r="I88" s="71"/>
      <c r="J88" s="71"/>
    </row>
    <row r="89" spans="3:11" x14ac:dyDescent="0.25">
      <c r="F89" s="71"/>
      <c r="G89" s="71"/>
      <c r="H89" s="71"/>
      <c r="I89" s="71"/>
      <c r="J89" s="71"/>
    </row>
    <row r="90" spans="3:11" x14ac:dyDescent="0.25">
      <c r="F90" s="71"/>
      <c r="G90" s="71"/>
      <c r="H90" s="71"/>
      <c r="I90" s="71"/>
      <c r="J90" s="71"/>
    </row>
  </sheetData>
  <sortState xmlns:xlrd2="http://schemas.microsoft.com/office/spreadsheetml/2017/richdata2" ref="A75:L83">
    <sortCondition descending="1" ref="D75:D83"/>
  </sortState>
  <mergeCells count="4">
    <mergeCell ref="A5:C5"/>
    <mergeCell ref="A1:K1"/>
    <mergeCell ref="A2:K2"/>
    <mergeCell ref="A3:K3"/>
  </mergeCells>
  <pageMargins left="0" right="0" top="0.25" bottom="0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DD9C-69CF-4D5B-BBD9-B4F6626F7FC9}">
  <sheetPr>
    <tabColor theme="7" tint="0.59999389629810485"/>
    <pageSetUpPr fitToPage="1"/>
  </sheetPr>
  <dimension ref="A1:J88"/>
  <sheetViews>
    <sheetView zoomScale="130" zoomScaleNormal="130" workbookViewId="0">
      <pane ySplit="5" topLeftCell="A68" activePane="bottomLeft" state="frozen"/>
      <selection activeCell="H16" sqref="H16"/>
      <selection pane="bottomLeft" activeCell="H16" sqref="H16"/>
    </sheetView>
  </sheetViews>
  <sheetFormatPr defaultColWidth="8.85546875" defaultRowHeight="15" x14ac:dyDescent="0.25"/>
  <cols>
    <col min="1" max="1" width="3.5703125" style="1" customWidth="1"/>
    <col min="2" max="2" width="3" style="1" customWidth="1"/>
    <col min="3" max="3" width="44" style="1" customWidth="1"/>
    <col min="4" max="8" width="13.7109375" style="1" customWidth="1"/>
    <col min="9" max="9" width="74" style="1" customWidth="1"/>
    <col min="10" max="11" width="8.85546875" style="1"/>
    <col min="12" max="12" width="9.5703125" style="1" bestFit="1" customWidth="1"/>
    <col min="13" max="16384" width="8.85546875" style="1"/>
  </cols>
  <sheetData>
    <row r="1" spans="1:9" ht="18.75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</row>
    <row r="2" spans="1:9" ht="18.75" x14ac:dyDescent="0.3">
      <c r="A2" s="214" t="s">
        <v>415</v>
      </c>
      <c r="B2" s="214"/>
      <c r="C2" s="214"/>
      <c r="D2" s="214"/>
      <c r="E2" s="214"/>
      <c r="F2" s="214"/>
      <c r="G2" s="214"/>
      <c r="H2" s="214"/>
      <c r="I2" s="214"/>
    </row>
    <row r="3" spans="1:9" x14ac:dyDescent="0.25">
      <c r="A3" s="215" t="s">
        <v>558</v>
      </c>
      <c r="B3" s="215"/>
      <c r="C3" s="215"/>
      <c r="D3" s="215"/>
      <c r="E3" s="215"/>
      <c r="F3" s="215"/>
      <c r="G3" s="215"/>
      <c r="H3" s="215"/>
      <c r="I3" s="215"/>
    </row>
    <row r="4" spans="1:9" ht="8.1" customHeight="1" x14ac:dyDescent="0.25">
      <c r="A4" s="5"/>
      <c r="B4" s="5"/>
      <c r="C4" s="5"/>
      <c r="D4" s="5"/>
      <c r="E4" s="5"/>
      <c r="F4" s="5"/>
      <c r="G4" s="5"/>
      <c r="H4" s="5"/>
    </row>
    <row r="5" spans="1:9" ht="45" x14ac:dyDescent="0.25">
      <c r="A5" s="215" t="s">
        <v>20</v>
      </c>
      <c r="B5" s="215"/>
      <c r="C5" s="215"/>
      <c r="D5" s="4" t="s">
        <v>365</v>
      </c>
      <c r="E5" s="4" t="s">
        <v>413</v>
      </c>
      <c r="F5" s="4" t="s">
        <v>414</v>
      </c>
      <c r="G5" s="4" t="s">
        <v>149</v>
      </c>
      <c r="H5" s="4" t="s">
        <v>115</v>
      </c>
      <c r="I5" s="4" t="s">
        <v>47</v>
      </c>
    </row>
    <row r="6" spans="1:9" x14ac:dyDescent="0.25">
      <c r="A6" s="9" t="s">
        <v>19</v>
      </c>
      <c r="B6" s="7"/>
      <c r="C6" s="7"/>
      <c r="D6" s="8"/>
      <c r="E6" s="8"/>
      <c r="F6" s="8"/>
      <c r="G6" s="8"/>
      <c r="H6" s="8"/>
    </row>
    <row r="7" spans="1:9" x14ac:dyDescent="0.25">
      <c r="A7" s="7"/>
      <c r="B7" s="7"/>
      <c r="C7" s="7" t="s">
        <v>40</v>
      </c>
      <c r="D7" s="12">
        <f>+'FY 2025-2026 Occupancy Tax'!C18</f>
        <v>423835.67000000004</v>
      </c>
      <c r="E7" s="12">
        <f>517994.02964-D7</f>
        <v>94158.359639999981</v>
      </c>
      <c r="F7" s="12">
        <f>+D7+E7</f>
        <v>517994.02964000002</v>
      </c>
      <c r="G7" s="12">
        <v>500000</v>
      </c>
      <c r="H7" s="12">
        <f>+F7-G7</f>
        <v>17994.029640000022</v>
      </c>
      <c r="I7" s="1" t="s">
        <v>416</v>
      </c>
    </row>
    <row r="8" spans="1:9" x14ac:dyDescent="0.25">
      <c r="A8" s="9"/>
      <c r="B8" s="7"/>
      <c r="C8" s="7" t="s">
        <v>23</v>
      </c>
      <c r="D8" s="12"/>
      <c r="E8" s="12">
        <f>5560.44135999988-1000+15000</f>
        <v>19560.441359999881</v>
      </c>
      <c r="F8" s="12">
        <f>+D8+E8</f>
        <v>19560.441359999881</v>
      </c>
      <c r="G8" s="12">
        <v>46443.495800000019</v>
      </c>
      <c r="H8" s="12">
        <f>+F8-G8</f>
        <v>-26883.054440000138</v>
      </c>
      <c r="I8" s="15" t="s">
        <v>511</v>
      </c>
    </row>
    <row r="9" spans="1:9" x14ac:dyDescent="0.25">
      <c r="A9" s="9" t="s">
        <v>18</v>
      </c>
      <c r="B9" s="7"/>
      <c r="C9" s="7"/>
      <c r="D9" s="13">
        <f t="shared" ref="D9:F9" si="0">SUM(D7:D8)</f>
        <v>423835.67000000004</v>
      </c>
      <c r="E9" s="13">
        <f t="shared" si="0"/>
        <v>113718.80099999986</v>
      </c>
      <c r="F9" s="13">
        <f t="shared" si="0"/>
        <v>537554.4709999999</v>
      </c>
      <c r="G9" s="13">
        <f t="shared" ref="G9:H9" si="1">SUM(G7:G8)</f>
        <v>546443.49580000003</v>
      </c>
      <c r="H9" s="13">
        <f t="shared" si="1"/>
        <v>-8889.0248000001156</v>
      </c>
      <c r="I9" s="61"/>
    </row>
    <row r="10" spans="1:9" ht="8.1" customHeight="1" x14ac:dyDescent="0.25">
      <c r="A10" s="9"/>
      <c r="B10" s="7"/>
      <c r="C10" s="7"/>
      <c r="D10" s="14"/>
      <c r="E10" s="14"/>
      <c r="F10" s="14"/>
      <c r="G10" s="14"/>
      <c r="H10" s="14"/>
    </row>
    <row r="11" spans="1:9" x14ac:dyDescent="0.25">
      <c r="A11" s="9" t="s">
        <v>4</v>
      </c>
      <c r="B11" s="7"/>
      <c r="C11" s="7"/>
      <c r="D11" s="12"/>
      <c r="E11" s="12"/>
      <c r="F11" s="12"/>
      <c r="G11" s="12"/>
      <c r="H11" s="12"/>
    </row>
    <row r="12" spans="1:9" ht="15" customHeight="1" x14ac:dyDescent="0.25">
      <c r="A12" s="9"/>
      <c r="B12" s="7" t="s">
        <v>98</v>
      </c>
      <c r="C12" s="7"/>
      <c r="D12" s="12"/>
      <c r="E12" s="12">
        <v>60000</v>
      </c>
      <c r="F12" s="12">
        <f>+D12+E12</f>
        <v>60000</v>
      </c>
      <c r="G12" s="12">
        <v>60000</v>
      </c>
      <c r="H12" s="12">
        <f t="shared" ref="H12:H59" si="2">+F12-G12</f>
        <v>0</v>
      </c>
      <c r="I12" s="1" t="s">
        <v>426</v>
      </c>
    </row>
    <row r="13" spans="1:9" ht="8.1" customHeight="1" x14ac:dyDescent="0.25">
      <c r="A13" s="9"/>
      <c r="B13" s="7"/>
      <c r="C13" s="7"/>
      <c r="D13" s="12"/>
      <c r="E13" s="12"/>
      <c r="F13" s="12"/>
      <c r="G13" s="12"/>
      <c r="H13" s="12"/>
    </row>
    <row r="14" spans="1:9" x14ac:dyDescent="0.25">
      <c r="A14" s="9"/>
      <c r="B14" s="7" t="s">
        <v>120</v>
      </c>
      <c r="D14" s="12">
        <f>+'Hyde County Ledger Exp FY 25-26'!H96</f>
        <v>5000</v>
      </c>
      <c r="E14" s="12">
        <v>0</v>
      </c>
      <c r="F14" s="12">
        <f t="shared" ref="F14:F59" si="3">+D14+E14</f>
        <v>5000</v>
      </c>
      <c r="G14" s="12">
        <v>5000</v>
      </c>
      <c r="H14" s="12">
        <f t="shared" si="2"/>
        <v>0</v>
      </c>
      <c r="I14" s="1" t="s">
        <v>339</v>
      </c>
    </row>
    <row r="15" spans="1:9" ht="8.1" customHeight="1" x14ac:dyDescent="0.25">
      <c r="A15" s="9"/>
      <c r="B15" s="7"/>
      <c r="C15" s="7"/>
      <c r="D15" s="12"/>
      <c r="E15" s="12"/>
      <c r="F15" s="12"/>
      <c r="G15" s="12"/>
      <c r="H15" s="12"/>
    </row>
    <row r="16" spans="1:9" x14ac:dyDescent="0.25">
      <c r="A16" s="9"/>
      <c r="B16" s="7" t="s">
        <v>99</v>
      </c>
      <c r="D16" s="12">
        <f>+'Small Purch Acct FY 25-26'!F82+'Hyde County Ledger Exp FY 25-26'!I96</f>
        <v>17079.900000000001</v>
      </c>
      <c r="E16" s="12">
        <v>42920</v>
      </c>
      <c r="F16" s="12">
        <f t="shared" si="3"/>
        <v>59999.9</v>
      </c>
      <c r="G16" s="12">
        <v>60000</v>
      </c>
      <c r="H16" s="12">
        <f t="shared" si="2"/>
        <v>-9.9999999998544808E-2</v>
      </c>
    </row>
    <row r="17" spans="1:9" ht="8.1" customHeight="1" x14ac:dyDescent="0.25">
      <c r="A17" s="9"/>
      <c r="B17" s="7"/>
      <c r="C17" s="7"/>
      <c r="D17" s="12"/>
      <c r="E17" s="12"/>
      <c r="F17" s="12"/>
      <c r="G17" s="12"/>
      <c r="H17" s="12"/>
    </row>
    <row r="18" spans="1:9" x14ac:dyDescent="0.25">
      <c r="A18" s="9"/>
      <c r="B18" s="7" t="s">
        <v>157</v>
      </c>
      <c r="D18" s="97"/>
      <c r="E18" s="97">
        <v>10000</v>
      </c>
      <c r="F18" s="12">
        <f t="shared" si="3"/>
        <v>10000</v>
      </c>
      <c r="G18" s="62">
        <v>10000</v>
      </c>
      <c r="H18" s="12">
        <f t="shared" si="2"/>
        <v>0</v>
      </c>
    </row>
    <row r="19" spans="1:9" ht="8.1" customHeight="1" x14ac:dyDescent="0.25">
      <c r="A19" s="9"/>
      <c r="B19" s="7"/>
      <c r="C19" s="7"/>
      <c r="D19" s="12"/>
      <c r="E19" s="12"/>
      <c r="F19" s="12"/>
      <c r="G19" s="12"/>
      <c r="H19" s="12"/>
    </row>
    <row r="20" spans="1:9" x14ac:dyDescent="0.25">
      <c r="A20" s="9"/>
      <c r="B20" s="7" t="s">
        <v>38</v>
      </c>
      <c r="D20" s="12">
        <f>+'Hyde County Ledger Exp FY 25-26'!K96</f>
        <v>1400</v>
      </c>
      <c r="E20" s="12">
        <f>8*350</f>
        <v>2800</v>
      </c>
      <c r="F20" s="12">
        <f t="shared" si="3"/>
        <v>4200</v>
      </c>
      <c r="G20" s="12">
        <v>4500</v>
      </c>
      <c r="H20" s="12">
        <f t="shared" si="2"/>
        <v>-300</v>
      </c>
    </row>
    <row r="21" spans="1:9" ht="8.1" customHeight="1" x14ac:dyDescent="0.25">
      <c r="A21" s="9"/>
      <c r="B21" s="7"/>
      <c r="C21" s="7"/>
      <c r="D21" s="12"/>
      <c r="E21" s="12"/>
      <c r="F21" s="12"/>
      <c r="G21" s="12"/>
      <c r="H21" s="12"/>
    </row>
    <row r="22" spans="1:9" ht="15" customHeight="1" x14ac:dyDescent="0.25">
      <c r="A22" s="9"/>
      <c r="B22" s="7" t="s">
        <v>21</v>
      </c>
      <c r="C22" s="7"/>
      <c r="D22" s="12">
        <f>+'Hyde County Ledger Exp FY 25-26'!L96</f>
        <v>637.77</v>
      </c>
      <c r="E22" s="12">
        <v>4362.2299999999996</v>
      </c>
      <c r="F22" s="12">
        <f t="shared" si="3"/>
        <v>5000</v>
      </c>
      <c r="G22" s="12">
        <v>5000</v>
      </c>
      <c r="H22" s="12">
        <f t="shared" si="2"/>
        <v>0</v>
      </c>
      <c r="I22" s="3" t="s">
        <v>428</v>
      </c>
    </row>
    <row r="23" spans="1:9" ht="8.1" customHeight="1" x14ac:dyDescent="0.25">
      <c r="A23" s="9"/>
      <c r="B23" s="7"/>
      <c r="C23" s="7"/>
      <c r="D23" s="12"/>
      <c r="E23" s="12"/>
      <c r="F23" s="12"/>
      <c r="G23" s="12"/>
      <c r="H23" s="12"/>
    </row>
    <row r="24" spans="1:9" x14ac:dyDescent="0.25">
      <c r="A24" s="9"/>
      <c r="B24" s="7" t="s">
        <v>41</v>
      </c>
      <c r="C24" s="7"/>
      <c r="D24" s="12">
        <f>+'Small Purch Acct FY 25-26'!F84+'Hyde County Ledger Exp FY 25-26'!M96</f>
        <v>6404.579999999999</v>
      </c>
      <c r="E24" s="12">
        <v>18595.419999999998</v>
      </c>
      <c r="F24" s="12">
        <f t="shared" si="3"/>
        <v>24999.999999999996</v>
      </c>
      <c r="G24" s="12">
        <v>25000</v>
      </c>
      <c r="H24" s="12">
        <f t="shared" si="2"/>
        <v>0</v>
      </c>
    </row>
    <row r="25" spans="1:9" ht="8.1" customHeight="1" x14ac:dyDescent="0.25">
      <c r="A25" s="9"/>
      <c r="B25" s="7"/>
      <c r="C25" s="7"/>
      <c r="D25" s="12"/>
      <c r="E25" s="12"/>
      <c r="F25" s="12"/>
      <c r="G25" s="12"/>
      <c r="H25" s="12"/>
    </row>
    <row r="26" spans="1:9" x14ac:dyDescent="0.25">
      <c r="A26" s="9"/>
      <c r="B26" s="7" t="s">
        <v>39</v>
      </c>
      <c r="C26" s="7"/>
      <c r="D26" s="12">
        <f>+'Hyde County Ledger Exp FY 25-26'!N96</f>
        <v>375</v>
      </c>
      <c r="E26" s="12">
        <f>4900-375</f>
        <v>4525</v>
      </c>
      <c r="F26" s="12">
        <f t="shared" si="3"/>
        <v>4900</v>
      </c>
      <c r="G26" s="12">
        <v>4900</v>
      </c>
      <c r="H26" s="12">
        <f t="shared" si="2"/>
        <v>0</v>
      </c>
    </row>
    <row r="27" spans="1:9" ht="8.1" customHeight="1" x14ac:dyDescent="0.25">
      <c r="A27" s="9"/>
      <c r="B27" s="7"/>
      <c r="C27" s="7"/>
      <c r="D27" s="12"/>
      <c r="E27" s="12"/>
      <c r="F27" s="12"/>
      <c r="G27" s="12"/>
      <c r="H27" s="12"/>
    </row>
    <row r="28" spans="1:9" x14ac:dyDescent="0.25">
      <c r="A28" s="9"/>
      <c r="B28" s="7" t="s">
        <v>22</v>
      </c>
      <c r="C28" s="7"/>
      <c r="D28" s="12">
        <f>+'Hyde County Ledger Exp FY 25-26'!O96</f>
        <v>350</v>
      </c>
      <c r="E28" s="12">
        <v>9650</v>
      </c>
      <c r="F28" s="12">
        <f t="shared" si="3"/>
        <v>10000</v>
      </c>
      <c r="G28" s="12">
        <v>10000</v>
      </c>
      <c r="H28" s="12">
        <f t="shared" si="2"/>
        <v>0</v>
      </c>
    </row>
    <row r="29" spans="1:9" ht="8.1" customHeight="1" x14ac:dyDescent="0.25">
      <c r="A29" s="9"/>
      <c r="B29" s="7"/>
      <c r="C29" s="7"/>
      <c r="F29" s="12"/>
      <c r="G29" s="12"/>
      <c r="H29" s="12"/>
    </row>
    <row r="30" spans="1:9" x14ac:dyDescent="0.25">
      <c r="A30" s="9"/>
      <c r="B30" s="7" t="s">
        <v>164</v>
      </c>
      <c r="C30" s="7"/>
      <c r="D30" s="12">
        <f>+'Hyde County Ledger Exp FY 25-26'!P96</f>
        <v>1830</v>
      </c>
      <c r="E30" s="196">
        <f>3500-1830-1000</f>
        <v>670</v>
      </c>
      <c r="F30" s="12">
        <f t="shared" si="3"/>
        <v>2500</v>
      </c>
      <c r="G30" s="12">
        <v>3700</v>
      </c>
      <c r="H30" s="12">
        <f t="shared" si="2"/>
        <v>-1200</v>
      </c>
    </row>
    <row r="31" spans="1:9" ht="8.1" customHeight="1" x14ac:dyDescent="0.25">
      <c r="A31" s="9"/>
      <c r="B31" s="7"/>
      <c r="C31" s="7"/>
      <c r="F31" s="12"/>
      <c r="G31" s="12"/>
      <c r="H31" s="12"/>
    </row>
    <row r="32" spans="1:9" x14ac:dyDescent="0.25">
      <c r="A32" s="9"/>
      <c r="B32" s="7" t="s">
        <v>5</v>
      </c>
      <c r="C32" s="7"/>
      <c r="F32" s="12"/>
      <c r="G32" s="12"/>
      <c r="H32" s="12"/>
    </row>
    <row r="33" spans="1:10" x14ac:dyDescent="0.25">
      <c r="A33" s="9"/>
      <c r="B33" s="89"/>
      <c r="C33" s="89" t="s">
        <v>6</v>
      </c>
      <c r="D33" s="12">
        <f>+'Patriot PR Details RPT FY 25-26'!B12</f>
        <v>35000.04</v>
      </c>
      <c r="E33" s="12">
        <v>34999.96</v>
      </c>
      <c r="F33" s="12">
        <f t="shared" si="3"/>
        <v>70000</v>
      </c>
      <c r="G33" s="12">
        <v>70000</v>
      </c>
      <c r="H33" s="12">
        <f t="shared" si="2"/>
        <v>0</v>
      </c>
    </row>
    <row r="34" spans="1:10" x14ac:dyDescent="0.25">
      <c r="A34" s="9"/>
      <c r="B34" s="7"/>
      <c r="C34" s="7" t="s">
        <v>7</v>
      </c>
      <c r="D34" s="12">
        <f>+'Patriot PR Details RPT FY 25-26'!L12+'Patriot PR Details RPT FY 25-26'!M12+'Patriot PR Details RPT FY 25-26'!N12</f>
        <v>2378.39</v>
      </c>
      <c r="E34" s="12">
        <v>2526</v>
      </c>
      <c r="F34" s="12">
        <f t="shared" si="3"/>
        <v>4904.3899999999994</v>
      </c>
      <c r="G34" s="12">
        <v>4800</v>
      </c>
      <c r="H34" s="12">
        <f t="shared" si="2"/>
        <v>104.38999999999942</v>
      </c>
    </row>
    <row r="35" spans="1:10" x14ac:dyDescent="0.25">
      <c r="A35" s="9"/>
      <c r="B35" s="7"/>
      <c r="C35" s="7" t="s">
        <v>8</v>
      </c>
      <c r="D35" s="12">
        <f>+'FNB Payroll Acct. Rollforward'!E45+'Patriot PR Details RPT FY 25-26'!J12+'Patriot PR Details RPT FY 25-26'!K12</f>
        <v>6027.0000000000009</v>
      </c>
      <c r="E35" s="12">
        <v>5627</v>
      </c>
      <c r="F35" s="12">
        <f t="shared" si="3"/>
        <v>11654</v>
      </c>
      <c r="G35" s="12">
        <v>12323.404800000002</v>
      </c>
      <c r="H35" s="12">
        <f t="shared" si="2"/>
        <v>-669.40480000000207</v>
      </c>
      <c r="I35" s="1" t="s">
        <v>296</v>
      </c>
    </row>
    <row r="36" spans="1:10" ht="8.1" customHeight="1" x14ac:dyDescent="0.25">
      <c r="A36" s="9"/>
      <c r="B36" s="7"/>
      <c r="C36" s="7"/>
      <c r="D36" s="12"/>
      <c r="E36" s="12"/>
      <c r="F36" s="12"/>
      <c r="G36" s="12"/>
      <c r="H36" s="12"/>
    </row>
    <row r="37" spans="1:10" x14ac:dyDescent="0.25">
      <c r="A37" s="9"/>
      <c r="B37" s="7" t="s">
        <v>9</v>
      </c>
      <c r="C37" s="7"/>
      <c r="D37" s="12"/>
      <c r="E37" s="12"/>
      <c r="F37" s="12"/>
      <c r="G37" s="12"/>
      <c r="H37" s="12"/>
    </row>
    <row r="38" spans="1:10" x14ac:dyDescent="0.25">
      <c r="A38" s="9"/>
      <c r="B38" s="7"/>
      <c r="C38" s="7" t="s">
        <v>100</v>
      </c>
      <c r="D38" s="12">
        <f>+'Hyde County Ledger Exp FY 25-26'!Q96</f>
        <v>3401</v>
      </c>
      <c r="E38" s="12">
        <f>10000-3401</f>
        <v>6599</v>
      </c>
      <c r="F38" s="12">
        <f t="shared" si="3"/>
        <v>10000</v>
      </c>
      <c r="G38" s="12">
        <v>13200</v>
      </c>
      <c r="H38" s="12">
        <f t="shared" si="2"/>
        <v>-3200</v>
      </c>
    </row>
    <row r="39" spans="1:10" ht="15" customHeight="1" x14ac:dyDescent="0.25">
      <c r="A39" s="9"/>
      <c r="B39" s="7"/>
      <c r="C39" s="7" t="s">
        <v>10</v>
      </c>
      <c r="D39" s="12">
        <f>+'Hyde County Ledger Exp FY 25-26'!R96</f>
        <v>1327.5</v>
      </c>
      <c r="E39" s="12">
        <v>2272.5</v>
      </c>
      <c r="F39" s="12">
        <f t="shared" si="3"/>
        <v>3600</v>
      </c>
      <c r="G39" s="12">
        <v>3600</v>
      </c>
      <c r="H39" s="12">
        <f t="shared" si="2"/>
        <v>0</v>
      </c>
    </row>
    <row r="40" spans="1:10" x14ac:dyDescent="0.25">
      <c r="A40" s="9"/>
      <c r="B40" s="7"/>
      <c r="C40" s="7" t="s">
        <v>11</v>
      </c>
      <c r="D40" s="12">
        <f>+'Hyde County Ledger Exp FY 25-26'!S96</f>
        <v>500</v>
      </c>
      <c r="E40" s="12">
        <v>6500</v>
      </c>
      <c r="F40" s="12">
        <f t="shared" si="3"/>
        <v>7000</v>
      </c>
      <c r="G40" s="12">
        <v>7000</v>
      </c>
      <c r="H40" s="12">
        <f t="shared" si="2"/>
        <v>0</v>
      </c>
    </row>
    <row r="41" spans="1:10" ht="8.1" customHeight="1" x14ac:dyDescent="0.25">
      <c r="A41" s="9"/>
      <c r="B41" s="7"/>
      <c r="C41" s="7"/>
      <c r="D41" s="12"/>
      <c r="E41" s="12"/>
      <c r="F41" s="12"/>
      <c r="G41" s="12"/>
      <c r="H41" s="12"/>
    </row>
    <row r="42" spans="1:10" x14ac:dyDescent="0.25">
      <c r="A42" s="9"/>
      <c r="B42" s="7" t="s">
        <v>12</v>
      </c>
      <c r="C42" s="7"/>
      <c r="D42" s="12">
        <f>+'Hyde County Ledger Exp FY 25-26'!T96</f>
        <v>20910</v>
      </c>
      <c r="E42" s="12">
        <v>0</v>
      </c>
      <c r="F42" s="12">
        <f t="shared" si="3"/>
        <v>20910</v>
      </c>
      <c r="G42" s="12">
        <v>21000</v>
      </c>
      <c r="H42" s="12">
        <f t="shared" si="2"/>
        <v>-90</v>
      </c>
      <c r="I42" s="1" t="s">
        <v>265</v>
      </c>
    </row>
    <row r="43" spans="1:10" ht="8.1" customHeight="1" x14ac:dyDescent="0.25">
      <c r="A43" s="9"/>
      <c r="B43" s="7"/>
      <c r="C43" s="7"/>
      <c r="D43" s="12"/>
      <c r="E43" s="12"/>
      <c r="F43" s="12"/>
      <c r="G43" s="12"/>
      <c r="H43" s="12"/>
    </row>
    <row r="44" spans="1:10" x14ac:dyDescent="0.25">
      <c r="A44" s="9"/>
      <c r="B44" s="7" t="s">
        <v>101</v>
      </c>
      <c r="C44" s="7"/>
      <c r="D44" s="12">
        <f>+'Small Purch Acct FY 25-26'!F80+'Hyde County Ledger Exp FY 25-26'!U96</f>
        <v>4881.92</v>
      </c>
      <c r="E44" s="12">
        <v>5100</v>
      </c>
      <c r="F44" s="12">
        <f>+D44+E44</f>
        <v>9981.92</v>
      </c>
      <c r="G44" s="12">
        <v>9000</v>
      </c>
      <c r="H44" s="12">
        <f t="shared" si="2"/>
        <v>981.92000000000007</v>
      </c>
    </row>
    <row r="45" spans="1:10" ht="8.1" customHeight="1" x14ac:dyDescent="0.25">
      <c r="A45" s="9"/>
      <c r="B45" s="7"/>
      <c r="C45" s="7"/>
      <c r="D45" s="12"/>
      <c r="E45" s="12"/>
      <c r="F45" s="12"/>
      <c r="G45" s="12"/>
      <c r="H45" s="12"/>
    </row>
    <row r="46" spans="1:10" ht="15" customHeight="1" x14ac:dyDescent="0.25">
      <c r="A46" s="9"/>
      <c r="B46" s="7" t="s">
        <v>25</v>
      </c>
      <c r="C46" s="7"/>
      <c r="D46" s="12">
        <f>+'Small Purch Acct FY 25-26'!F83+'Hyde County Ledger Exp FY 25-26'!V96</f>
        <v>144.97</v>
      </c>
      <c r="E46" s="12">
        <v>855</v>
      </c>
      <c r="F46" s="12">
        <f t="shared" si="3"/>
        <v>999.97</v>
      </c>
      <c r="G46" s="12">
        <v>3000</v>
      </c>
      <c r="H46" s="12">
        <f t="shared" si="2"/>
        <v>-2000.03</v>
      </c>
      <c r="I46" s="1" t="s">
        <v>445</v>
      </c>
      <c r="J46" s="11"/>
    </row>
    <row r="47" spans="1:10" ht="8.1" customHeight="1" x14ac:dyDescent="0.25">
      <c r="A47" s="9"/>
      <c r="B47" s="7"/>
      <c r="C47" s="7"/>
      <c r="D47" s="12"/>
      <c r="E47" s="12"/>
      <c r="F47" s="12"/>
      <c r="G47" s="12"/>
      <c r="H47" s="12"/>
    </row>
    <row r="48" spans="1:10" ht="15" customHeight="1" x14ac:dyDescent="0.25">
      <c r="A48" s="9"/>
      <c r="B48" s="7" t="s">
        <v>333</v>
      </c>
      <c r="C48" s="7"/>
      <c r="D48" s="12"/>
      <c r="E48" s="12"/>
      <c r="F48" s="12"/>
      <c r="G48" s="12"/>
      <c r="H48" s="12"/>
      <c r="I48" s="89"/>
      <c r="J48" s="11"/>
    </row>
    <row r="49" spans="1:10" ht="15" customHeight="1" x14ac:dyDescent="0.25">
      <c r="A49" s="9"/>
      <c r="C49" s="7" t="s">
        <v>49</v>
      </c>
      <c r="D49" s="12">
        <f>+'Hyde County Ledger Exp FY 25-26'!W96</f>
        <v>10362.709999999999</v>
      </c>
      <c r="E49" s="12">
        <v>10637.29</v>
      </c>
      <c r="F49" s="12">
        <f t="shared" si="3"/>
        <v>21000</v>
      </c>
      <c r="G49" s="12">
        <v>21000</v>
      </c>
      <c r="H49" s="12">
        <f t="shared" si="2"/>
        <v>0</v>
      </c>
      <c r="I49" s="89" t="s">
        <v>361</v>
      </c>
      <c r="J49" s="11"/>
    </row>
    <row r="50" spans="1:10" ht="15" customHeight="1" x14ac:dyDescent="0.25">
      <c r="A50" s="9"/>
      <c r="C50" s="7" t="s">
        <v>50</v>
      </c>
      <c r="D50" s="12">
        <f>+'Small Purch Acct FY 25-26'!F81+'Hyde County Ledger Exp FY 25-26'!X96</f>
        <v>1471</v>
      </c>
      <c r="E50" s="12">
        <v>2279</v>
      </c>
      <c r="F50" s="12">
        <f t="shared" si="3"/>
        <v>3750</v>
      </c>
      <c r="G50" s="12">
        <v>3750</v>
      </c>
      <c r="H50" s="12">
        <f t="shared" si="2"/>
        <v>0</v>
      </c>
      <c r="I50" s="89" t="s">
        <v>266</v>
      </c>
    </row>
    <row r="51" spans="1:10" ht="15" customHeight="1" x14ac:dyDescent="0.25">
      <c r="A51" s="9"/>
      <c r="C51" s="7" t="s">
        <v>175</v>
      </c>
      <c r="D51" s="12"/>
      <c r="E51" s="12">
        <v>1000</v>
      </c>
      <c r="F51" s="12">
        <f t="shared" si="3"/>
        <v>1000</v>
      </c>
      <c r="G51" s="12">
        <v>1000</v>
      </c>
      <c r="H51" s="12">
        <f t="shared" si="2"/>
        <v>0</v>
      </c>
      <c r="I51" s="89"/>
    </row>
    <row r="52" spans="1:10" ht="8.1" customHeight="1" x14ac:dyDescent="0.25">
      <c r="A52" s="9"/>
      <c r="B52" s="7"/>
      <c r="C52" s="7"/>
      <c r="D52" s="12"/>
      <c r="E52" s="12"/>
      <c r="F52" s="12"/>
      <c r="G52" s="12"/>
      <c r="H52" s="12"/>
    </row>
    <row r="53" spans="1:10" ht="15" customHeight="1" x14ac:dyDescent="0.25">
      <c r="A53" s="9"/>
      <c r="B53" s="7" t="s">
        <v>13</v>
      </c>
      <c r="C53" s="7"/>
      <c r="D53" s="12">
        <f>+'Small Purch Acct FY 25-26'!F85+'Hyde County Ledger Exp FY 25-26'!Z96</f>
        <v>2734.45</v>
      </c>
      <c r="E53" s="12">
        <v>765.55</v>
      </c>
      <c r="F53" s="12">
        <f t="shared" si="3"/>
        <v>3500</v>
      </c>
      <c r="G53" s="12">
        <v>3500</v>
      </c>
      <c r="H53" s="12">
        <f t="shared" si="2"/>
        <v>0</v>
      </c>
      <c r="I53" s="1" t="s">
        <v>362</v>
      </c>
    </row>
    <row r="54" spans="1:10" ht="8.1" customHeight="1" x14ac:dyDescent="0.25">
      <c r="A54" s="9"/>
      <c r="B54" s="7"/>
      <c r="C54" s="7"/>
      <c r="D54" s="12"/>
      <c r="E54" s="12"/>
      <c r="F54" s="12"/>
      <c r="G54" s="12"/>
      <c r="H54" s="12"/>
    </row>
    <row r="55" spans="1:10" x14ac:dyDescent="0.25">
      <c r="A55" s="9"/>
      <c r="B55" s="7" t="s">
        <v>14</v>
      </c>
      <c r="C55" s="7"/>
      <c r="D55" s="12">
        <f>+'Hyde County Ledger Exp FY 25-26'!AA96</f>
        <v>9800</v>
      </c>
      <c r="E55" s="12">
        <f>1400*5</f>
        <v>7000</v>
      </c>
      <c r="F55" s="12">
        <f t="shared" si="3"/>
        <v>16800</v>
      </c>
      <c r="G55" s="12">
        <v>18000</v>
      </c>
      <c r="H55" s="12">
        <f t="shared" si="2"/>
        <v>-1200</v>
      </c>
      <c r="I55" s="15" t="s">
        <v>421</v>
      </c>
    </row>
    <row r="56" spans="1:10" ht="8.1" customHeight="1" x14ac:dyDescent="0.25">
      <c r="A56" s="9"/>
      <c r="B56" s="7"/>
      <c r="C56" s="7"/>
      <c r="D56" s="12"/>
      <c r="E56" s="12"/>
      <c r="F56" s="12"/>
      <c r="G56" s="12"/>
      <c r="H56" s="12"/>
    </row>
    <row r="57" spans="1:10" ht="15" customHeight="1" x14ac:dyDescent="0.25">
      <c r="A57" s="7"/>
      <c r="B57" s="7" t="s">
        <v>15</v>
      </c>
      <c r="C57" s="7"/>
      <c r="D57" s="12">
        <f>+'Hyde County Ledger Exp FY 25-26'!AB96</f>
        <v>13143.39</v>
      </c>
      <c r="E57" s="12">
        <v>10856.61</v>
      </c>
      <c r="F57" s="12">
        <f t="shared" si="3"/>
        <v>24000</v>
      </c>
      <c r="G57" s="12">
        <v>24000</v>
      </c>
      <c r="H57" s="12">
        <f t="shared" si="2"/>
        <v>0</v>
      </c>
    </row>
    <row r="58" spans="1:10" ht="8.1" customHeight="1" x14ac:dyDescent="0.25">
      <c r="A58" s="9"/>
      <c r="B58" s="7"/>
      <c r="C58" s="7"/>
      <c r="D58" s="12"/>
      <c r="E58" s="12"/>
      <c r="F58" s="12"/>
      <c r="G58" s="12"/>
      <c r="H58" s="12"/>
    </row>
    <row r="59" spans="1:10" ht="15" customHeight="1" x14ac:dyDescent="0.25">
      <c r="B59" s="7" t="s">
        <v>26</v>
      </c>
      <c r="C59" s="7"/>
      <c r="D59" s="12">
        <f>+'Hyde County Ledger Exp FY 25-26'!AC96</f>
        <v>69116.72</v>
      </c>
      <c r="E59" s="12">
        <f>+E82</f>
        <v>72737.570999999996</v>
      </c>
      <c r="F59" s="12">
        <f t="shared" si="3"/>
        <v>141854.291</v>
      </c>
      <c r="G59" s="12">
        <v>143170.09100000001</v>
      </c>
      <c r="H59" s="12">
        <f t="shared" si="2"/>
        <v>-1315.8000000000175</v>
      </c>
    </row>
    <row r="60" spans="1:10" ht="8.1" customHeight="1" x14ac:dyDescent="0.25">
      <c r="C60" s="7"/>
      <c r="D60" s="12"/>
      <c r="E60" s="12"/>
      <c r="F60" s="12"/>
      <c r="G60" s="12"/>
      <c r="H60" s="12"/>
    </row>
    <row r="61" spans="1:10" x14ac:dyDescent="0.25">
      <c r="A61" s="9" t="s">
        <v>16</v>
      </c>
      <c r="C61" s="7"/>
      <c r="D61" s="13">
        <f>SUM(D12:D60)</f>
        <v>214276.34</v>
      </c>
      <c r="E61" s="13">
        <f>SUM(E12:E60)</f>
        <v>323278.13099999999</v>
      </c>
      <c r="F61" s="13">
        <f>SUM(F12:F60)</f>
        <v>537554.4709999999</v>
      </c>
      <c r="G61" s="13">
        <f>SUM(G12:G60)</f>
        <v>546443.49580000003</v>
      </c>
      <c r="H61" s="13">
        <f>SUM(H12:H60)</f>
        <v>-8889.0248000000174</v>
      </c>
    </row>
    <row r="62" spans="1:10" ht="8.1" customHeight="1" x14ac:dyDescent="0.25">
      <c r="A62" s="9"/>
      <c r="C62" s="7"/>
      <c r="D62" s="14"/>
      <c r="E62" s="14"/>
      <c r="F62" s="14"/>
      <c r="G62" s="14"/>
      <c r="H62" s="14"/>
    </row>
    <row r="63" spans="1:10" ht="15.75" thickBot="1" x14ac:dyDescent="0.3">
      <c r="A63" s="9" t="s">
        <v>17</v>
      </c>
      <c r="C63" s="3"/>
      <c r="D63" s="16">
        <f>+D9-D61</f>
        <v>209559.33000000005</v>
      </c>
      <c r="E63" s="16">
        <f>+E9-E61</f>
        <v>-209559.33000000013</v>
      </c>
      <c r="F63" s="16">
        <f>+F9-F61</f>
        <v>0</v>
      </c>
      <c r="G63" s="16">
        <f>+G9-G61</f>
        <v>0</v>
      </c>
      <c r="H63" s="16">
        <f>+H9-H61</f>
        <v>-9.822542779147625E-11</v>
      </c>
    </row>
    <row r="64" spans="1:10" ht="15.75" thickTop="1" x14ac:dyDescent="0.25">
      <c r="D64" s="98"/>
      <c r="E64" s="98"/>
      <c r="F64" s="98"/>
      <c r="G64" s="3"/>
      <c r="H64" s="3"/>
    </row>
    <row r="65" spans="1:9" x14ac:dyDescent="0.25">
      <c r="D65" s="98"/>
      <c r="E65" s="98"/>
      <c r="F65" s="98"/>
      <c r="G65" s="3"/>
      <c r="H65" s="3"/>
    </row>
    <row r="66" spans="1:9" x14ac:dyDescent="0.25">
      <c r="D66" s="98"/>
      <c r="E66" s="98"/>
      <c r="F66" s="98"/>
      <c r="G66" s="3"/>
      <c r="H66" s="3"/>
    </row>
    <row r="67" spans="1:9" ht="18.75" x14ac:dyDescent="0.3">
      <c r="A67" s="6" t="s">
        <v>0</v>
      </c>
      <c r="B67" s="10"/>
      <c r="C67" s="10"/>
    </row>
    <row r="68" spans="1:9" ht="18.75" x14ac:dyDescent="0.3">
      <c r="A68" s="6" t="s">
        <v>267</v>
      </c>
      <c r="B68" s="10"/>
      <c r="C68" s="10"/>
    </row>
    <row r="69" spans="1:9" ht="8.1" customHeight="1" x14ac:dyDescent="0.3">
      <c r="D69" s="10"/>
      <c r="E69" s="10"/>
      <c r="F69" s="10"/>
      <c r="G69" s="10"/>
      <c r="H69" s="10"/>
    </row>
    <row r="70" spans="1:9" ht="45" x14ac:dyDescent="0.25">
      <c r="D70" s="4" t="str">
        <f>+D5</f>
        <v>Actual Through 12/31/25</v>
      </c>
      <c r="E70" s="4" t="str">
        <f>+E5</f>
        <v>6 Month Projection</v>
      </c>
      <c r="F70" s="4" t="str">
        <f>+F5</f>
        <v>Projected FY 2025/2026 Total</v>
      </c>
      <c r="G70" s="4" t="str">
        <f>+G5</f>
        <v>Full Year FY 2025 / 2026
Budget</v>
      </c>
      <c r="H70" s="4" t="s">
        <v>97</v>
      </c>
    </row>
    <row r="71" spans="1:9" ht="8.1" customHeight="1" x14ac:dyDescent="0.25">
      <c r="D71" s="4"/>
      <c r="E71" s="4"/>
      <c r="F71" s="4"/>
      <c r="G71" s="4"/>
      <c r="H71" s="4"/>
    </row>
    <row r="72" spans="1:9" x14ac:dyDescent="0.25">
      <c r="A72" s="9" t="s">
        <v>28</v>
      </c>
      <c r="C72" s="3"/>
      <c r="D72" s="14">
        <f>+D59</f>
        <v>69116.72</v>
      </c>
      <c r="E72" s="14">
        <f>+E59</f>
        <v>72737.570999999996</v>
      </c>
      <c r="F72" s="14">
        <f>+D72+E72</f>
        <v>141854.291</v>
      </c>
      <c r="G72" s="14">
        <f>+G59</f>
        <v>143170.09100000001</v>
      </c>
      <c r="H72" s="14">
        <f>+F72-G72</f>
        <v>-1315.8000000000175</v>
      </c>
      <c r="I72" s="61"/>
    </row>
    <row r="73" spans="1:9" ht="8.1" customHeight="1" x14ac:dyDescent="0.25">
      <c r="B73" s="7"/>
      <c r="C73" s="3"/>
    </row>
    <row r="74" spans="1:9" x14ac:dyDescent="0.25">
      <c r="C74" s="7" t="s">
        <v>102</v>
      </c>
      <c r="D74" s="2">
        <f>+'Hyde County Ledger Exp FY 25-26'!AC98</f>
        <v>20499.96</v>
      </c>
      <c r="E74" s="142">
        <v>27500.04</v>
      </c>
      <c r="F74" s="2">
        <f>+D74+E74</f>
        <v>48000</v>
      </c>
      <c r="G74" s="2">
        <v>48000</v>
      </c>
      <c r="H74" s="2">
        <f>+F74-G74</f>
        <v>0</v>
      </c>
      <c r="I74" s="1" t="s">
        <v>409</v>
      </c>
    </row>
    <row r="75" spans="1:9" x14ac:dyDescent="0.25">
      <c r="C75" s="7" t="s">
        <v>27</v>
      </c>
      <c r="D75" s="2">
        <f>+'Hyde County Ledger Exp FY 25-26'!AC99</f>
        <v>18232.560000000001</v>
      </c>
      <c r="E75" s="142">
        <v>18237.530999999999</v>
      </c>
      <c r="F75" s="2">
        <f t="shared" ref="F75:F81" si="4">+D75+E75</f>
        <v>36470.091</v>
      </c>
      <c r="G75" s="2">
        <v>36470.091</v>
      </c>
      <c r="H75" s="2">
        <f t="shared" ref="H75:H81" si="5">+F75-G75</f>
        <v>0</v>
      </c>
      <c r="I75" s="1" t="s">
        <v>410</v>
      </c>
    </row>
    <row r="76" spans="1:9" s="7" customFormat="1" ht="30" x14ac:dyDescent="0.25">
      <c r="C76" s="7" t="s">
        <v>103</v>
      </c>
      <c r="D76" s="206">
        <f>+'Hyde County Ledger Exp FY 25-26'!AC100</f>
        <v>16610</v>
      </c>
      <c r="E76" s="206">
        <v>15000</v>
      </c>
      <c r="F76" s="206">
        <f t="shared" si="4"/>
        <v>31610</v>
      </c>
      <c r="G76" s="206">
        <v>25000</v>
      </c>
      <c r="H76" s="206">
        <f t="shared" si="5"/>
        <v>6610</v>
      </c>
      <c r="I76" s="211" t="s">
        <v>571</v>
      </c>
    </row>
    <row r="77" spans="1:9" x14ac:dyDescent="0.25">
      <c r="C77" s="7" t="s">
        <v>182</v>
      </c>
      <c r="D77" s="2">
        <f>+'Hyde County Ledger Exp FY 25-26'!AC101</f>
        <v>0</v>
      </c>
      <c r="E77" s="142">
        <v>12000</v>
      </c>
      <c r="F77" s="2">
        <f t="shared" si="4"/>
        <v>12000</v>
      </c>
      <c r="G77" s="2">
        <v>12000</v>
      </c>
      <c r="H77" s="2">
        <f t="shared" si="5"/>
        <v>0</v>
      </c>
      <c r="I77" s="1" t="s">
        <v>183</v>
      </c>
    </row>
    <row r="78" spans="1:9" x14ac:dyDescent="0.25">
      <c r="C78" s="7" t="s">
        <v>184</v>
      </c>
      <c r="D78" s="2">
        <f>+'Hyde County Ledger Exp FY 25-26'!AC102</f>
        <v>0</v>
      </c>
      <c r="E78" s="142">
        <v>0</v>
      </c>
      <c r="F78" s="2">
        <f t="shared" si="4"/>
        <v>0</v>
      </c>
      <c r="G78" s="2">
        <v>3000</v>
      </c>
      <c r="H78" s="2">
        <f t="shared" si="5"/>
        <v>-3000</v>
      </c>
      <c r="I78" s="1" t="s">
        <v>185</v>
      </c>
    </row>
    <row r="79" spans="1:9" x14ac:dyDescent="0.25">
      <c r="C79" s="7" t="s">
        <v>105</v>
      </c>
      <c r="D79" s="2">
        <f>+'Hyde County Ledger Exp FY 25-26'!AC103</f>
        <v>8000</v>
      </c>
      <c r="E79" s="142">
        <v>0</v>
      </c>
      <c r="F79" s="2">
        <f t="shared" si="4"/>
        <v>8000</v>
      </c>
      <c r="G79" s="2">
        <v>8000</v>
      </c>
      <c r="H79" s="2">
        <f t="shared" si="5"/>
        <v>0</v>
      </c>
      <c r="I79" s="1" t="s">
        <v>360</v>
      </c>
    </row>
    <row r="80" spans="1:9" x14ac:dyDescent="0.25">
      <c r="C80" s="109" t="s">
        <v>106</v>
      </c>
      <c r="D80" s="2">
        <f>+'Hyde County Ledger Exp FY 25-26'!AC104</f>
        <v>5774.2</v>
      </c>
      <c r="E80" s="142">
        <v>0</v>
      </c>
      <c r="F80" s="2">
        <f t="shared" si="4"/>
        <v>5774.2</v>
      </c>
      <c r="G80" s="2">
        <v>6700</v>
      </c>
      <c r="H80" s="2">
        <f t="shared" si="5"/>
        <v>-925.80000000000018</v>
      </c>
      <c r="I80" s="1" t="s">
        <v>107</v>
      </c>
    </row>
    <row r="81" spans="3:9" x14ac:dyDescent="0.25">
      <c r="C81" s="109" t="s">
        <v>108</v>
      </c>
      <c r="D81" s="2">
        <f>+'Hyde County Ledger Exp FY 25-26'!AC105</f>
        <v>0</v>
      </c>
      <c r="E81" s="142">
        <v>0</v>
      </c>
      <c r="F81" s="2">
        <f t="shared" si="4"/>
        <v>0</v>
      </c>
      <c r="G81" s="2">
        <v>4000</v>
      </c>
      <c r="H81" s="2">
        <f t="shared" si="5"/>
        <v>-4000</v>
      </c>
      <c r="I81" s="1" t="s">
        <v>364</v>
      </c>
    </row>
    <row r="82" spans="3:9" ht="15.75" thickBot="1" x14ac:dyDescent="0.3">
      <c r="C82" s="34" t="s">
        <v>3</v>
      </c>
      <c r="D82" s="33">
        <f>SUM(D74:D81)</f>
        <v>69116.72</v>
      </c>
      <c r="E82" s="33">
        <f t="shared" ref="E82:F82" si="6">SUM(E74:E81)</f>
        <v>72737.570999999996</v>
      </c>
      <c r="F82" s="33">
        <f t="shared" si="6"/>
        <v>141854.29100000003</v>
      </c>
      <c r="G82" s="33">
        <f>SUM(G74:G81)</f>
        <v>143170.09100000001</v>
      </c>
      <c r="H82" s="33">
        <f>SUM(H74:H81)</f>
        <v>-1315.8000000000002</v>
      </c>
    </row>
    <row r="83" spans="3:9" ht="15.75" thickTop="1" x14ac:dyDescent="0.25">
      <c r="H83" s="2"/>
    </row>
    <row r="84" spans="3:9" x14ac:dyDescent="0.25">
      <c r="D84" s="71"/>
      <c r="E84" s="71"/>
      <c r="F84" s="71"/>
    </row>
    <row r="85" spans="3:9" x14ac:dyDescent="0.25">
      <c r="D85" s="71"/>
      <c r="E85" s="71"/>
      <c r="F85" s="71"/>
    </row>
    <row r="86" spans="3:9" x14ac:dyDescent="0.25">
      <c r="D86" s="71"/>
      <c r="E86" s="71"/>
      <c r="F86" s="71"/>
    </row>
    <row r="87" spans="3:9" x14ac:dyDescent="0.25">
      <c r="D87" s="71"/>
      <c r="E87" s="71"/>
      <c r="F87" s="71"/>
    </row>
    <row r="88" spans="3:9" x14ac:dyDescent="0.25">
      <c r="D88" s="71"/>
      <c r="E88" s="71"/>
      <c r="F88" s="71"/>
    </row>
  </sheetData>
  <mergeCells count="4">
    <mergeCell ref="A1:I1"/>
    <mergeCell ref="A2:I2"/>
    <mergeCell ref="A3:I3"/>
    <mergeCell ref="A5:C5"/>
  </mergeCells>
  <pageMargins left="0" right="0" top="0.25" bottom="0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F883-26D4-43D8-A216-A133F8079E65}">
  <sheetPr>
    <tabColor theme="7" tint="0.59999389629810485"/>
  </sheetPr>
  <dimension ref="A1:D43"/>
  <sheetViews>
    <sheetView topLeftCell="A26" zoomScale="120" zoomScaleNormal="120" workbookViewId="0">
      <selection activeCell="H16" sqref="H16"/>
    </sheetView>
  </sheetViews>
  <sheetFormatPr defaultRowHeight="15" x14ac:dyDescent="0.25"/>
  <cols>
    <col min="1" max="1" width="18.85546875" bestFit="1" customWidth="1"/>
    <col min="2" max="2" width="10.42578125" bestFit="1" customWidth="1"/>
    <col min="3" max="3" width="14" customWidth="1"/>
    <col min="4" max="4" width="44" customWidth="1"/>
  </cols>
  <sheetData>
    <row r="1" spans="1:4" ht="29.1" customHeight="1" x14ac:dyDescent="0.25">
      <c r="A1" s="217" t="s">
        <v>469</v>
      </c>
      <c r="B1" s="218"/>
      <c r="C1" s="218"/>
      <c r="D1" s="218"/>
    </row>
    <row r="2" spans="1:4" ht="18" customHeight="1" x14ac:dyDescent="0.25">
      <c r="A2" s="163"/>
      <c r="B2" s="163"/>
      <c r="C2" s="163"/>
      <c r="D2" s="163"/>
    </row>
    <row r="3" spans="1:4" ht="18" customHeight="1" x14ac:dyDescent="0.25">
      <c r="A3" s="219" t="s">
        <v>470</v>
      </c>
      <c r="B3" s="218"/>
      <c r="C3" s="218"/>
      <c r="D3" s="218"/>
    </row>
    <row r="4" spans="1:4" ht="18" customHeight="1" x14ac:dyDescent="0.25">
      <c r="A4" s="164" t="s">
        <v>438</v>
      </c>
      <c r="B4" s="164" t="s">
        <v>439</v>
      </c>
      <c r="C4" s="164" t="s">
        <v>471</v>
      </c>
      <c r="D4" s="164" t="s">
        <v>472</v>
      </c>
    </row>
    <row r="5" spans="1:4" ht="18" customHeight="1" x14ac:dyDescent="0.25">
      <c r="A5" s="165" t="s">
        <v>473</v>
      </c>
      <c r="B5" s="166">
        <v>175</v>
      </c>
      <c r="C5" s="166">
        <f>B5*12</f>
        <v>2100</v>
      </c>
      <c r="D5" s="165" t="s">
        <v>474</v>
      </c>
    </row>
    <row r="6" spans="1:4" ht="18" customHeight="1" x14ac:dyDescent="0.25">
      <c r="A6" s="165" t="s">
        <v>475</v>
      </c>
      <c r="B6" s="166">
        <v>165</v>
      </c>
      <c r="C6" s="166">
        <f>B6*12</f>
        <v>1980</v>
      </c>
      <c r="D6" s="165" t="s">
        <v>476</v>
      </c>
    </row>
    <row r="7" spans="1:4" ht="18" customHeight="1" x14ac:dyDescent="0.25">
      <c r="A7" s="165" t="s">
        <v>477</v>
      </c>
      <c r="B7" s="166">
        <v>183.81</v>
      </c>
      <c r="C7" s="166">
        <f>B7*12</f>
        <v>2205.7200000000003</v>
      </c>
      <c r="D7" s="165" t="s">
        <v>478</v>
      </c>
    </row>
    <row r="8" spans="1:4" ht="18" customHeight="1" x14ac:dyDescent="0.25">
      <c r="A8" s="165" t="s">
        <v>479</v>
      </c>
      <c r="B8" s="166">
        <v>109.25</v>
      </c>
      <c r="C8" s="166">
        <f>B8*12</f>
        <v>1311</v>
      </c>
      <c r="D8" s="165" t="s">
        <v>480</v>
      </c>
    </row>
    <row r="9" spans="1:4" ht="18" customHeight="1" x14ac:dyDescent="0.25">
      <c r="A9" s="167" t="s">
        <v>481</v>
      </c>
      <c r="B9" s="168"/>
      <c r="C9" s="169">
        <f>SUM(C5:C7)</f>
        <v>6285.72</v>
      </c>
      <c r="D9" s="168"/>
    </row>
    <row r="10" spans="1:4" ht="18" customHeight="1" x14ac:dyDescent="0.25">
      <c r="A10" s="163"/>
      <c r="B10" s="163"/>
      <c r="C10" s="163"/>
      <c r="D10" s="163"/>
    </row>
    <row r="11" spans="1:4" ht="18" customHeight="1" x14ac:dyDescent="0.25">
      <c r="A11" s="219" t="s">
        <v>482</v>
      </c>
      <c r="B11" s="218"/>
      <c r="C11" s="218"/>
      <c r="D11" s="218"/>
    </row>
    <row r="12" spans="1:4" ht="18" customHeight="1" x14ac:dyDescent="0.25">
      <c r="A12" s="164" t="s">
        <v>438</v>
      </c>
      <c r="B12" s="164" t="s">
        <v>439</v>
      </c>
      <c r="C12" s="164" t="s">
        <v>471</v>
      </c>
      <c r="D12" s="164" t="s">
        <v>472</v>
      </c>
    </row>
    <row r="13" spans="1:4" ht="18" customHeight="1" x14ac:dyDescent="0.25">
      <c r="A13" s="165" t="s">
        <v>442</v>
      </c>
      <c r="B13" s="166">
        <v>200.59</v>
      </c>
      <c r="C13" s="166">
        <f>B13*12</f>
        <v>2407.08</v>
      </c>
      <c r="D13" s="165" t="s">
        <v>483</v>
      </c>
    </row>
    <row r="14" spans="1:4" ht="18" customHeight="1" x14ac:dyDescent="0.25">
      <c r="A14" s="165" t="s">
        <v>443</v>
      </c>
      <c r="B14" s="166">
        <v>110</v>
      </c>
      <c r="C14" s="166">
        <f>B14*12</f>
        <v>1320</v>
      </c>
      <c r="D14" s="165" t="s">
        <v>484</v>
      </c>
    </row>
    <row r="15" spans="1:4" ht="18" customHeight="1" x14ac:dyDescent="0.25">
      <c r="A15" s="165" t="s">
        <v>485</v>
      </c>
      <c r="B15" s="166">
        <v>72</v>
      </c>
      <c r="C15" s="166">
        <f>B15*12</f>
        <v>864</v>
      </c>
      <c r="D15" s="165" t="s">
        <v>486</v>
      </c>
    </row>
    <row r="16" spans="1:4" ht="18" customHeight="1" x14ac:dyDescent="0.25">
      <c r="A16" s="165" t="s">
        <v>444</v>
      </c>
      <c r="B16" s="166">
        <v>33.33</v>
      </c>
      <c r="C16" s="166">
        <f>B16*12</f>
        <v>399.96</v>
      </c>
      <c r="D16" s="165" t="s">
        <v>487</v>
      </c>
    </row>
    <row r="17" spans="1:4" ht="18" customHeight="1" x14ac:dyDescent="0.25">
      <c r="A17" s="167" t="s">
        <v>481</v>
      </c>
      <c r="B17" s="168"/>
      <c r="C17" s="169">
        <f>SUM(C13:C16)</f>
        <v>4991.04</v>
      </c>
      <c r="D17" s="168"/>
    </row>
    <row r="18" spans="1:4" ht="18" customHeight="1" x14ac:dyDescent="0.25">
      <c r="A18" s="163"/>
      <c r="B18" s="163"/>
      <c r="C18" s="163"/>
      <c r="D18" s="163"/>
    </row>
    <row r="19" spans="1:4" ht="18" customHeight="1" x14ac:dyDescent="0.25">
      <c r="A19" s="219" t="s">
        <v>488</v>
      </c>
      <c r="B19" s="218"/>
      <c r="C19" s="218"/>
      <c r="D19" s="218"/>
    </row>
    <row r="20" spans="1:4" ht="18" customHeight="1" x14ac:dyDescent="0.25">
      <c r="A20" s="222" t="s">
        <v>489</v>
      </c>
      <c r="B20" s="218"/>
      <c r="C20" s="218"/>
      <c r="D20" s="218"/>
    </row>
    <row r="21" spans="1:4" ht="18" customHeight="1" x14ac:dyDescent="0.25">
      <c r="A21" s="164" t="s">
        <v>438</v>
      </c>
      <c r="B21" s="164" t="s">
        <v>439</v>
      </c>
      <c r="C21" s="164" t="s">
        <v>471</v>
      </c>
      <c r="D21" s="164" t="s">
        <v>472</v>
      </c>
    </row>
    <row r="22" spans="1:4" ht="18" customHeight="1" x14ac:dyDescent="0.25">
      <c r="A22" s="165" t="s">
        <v>490</v>
      </c>
      <c r="B22" s="166">
        <v>37.35</v>
      </c>
      <c r="C22" s="166">
        <f t="shared" ref="C22:C26" si="0">B22*12</f>
        <v>448.20000000000005</v>
      </c>
      <c r="D22" s="165" t="s">
        <v>491</v>
      </c>
    </row>
    <row r="23" spans="1:4" ht="18" customHeight="1" x14ac:dyDescent="0.25">
      <c r="A23" s="165" t="s">
        <v>492</v>
      </c>
      <c r="B23" s="166">
        <v>21.35</v>
      </c>
      <c r="C23" s="166">
        <f t="shared" si="0"/>
        <v>256.20000000000005</v>
      </c>
      <c r="D23" s="165" t="s">
        <v>493</v>
      </c>
    </row>
    <row r="24" spans="1:4" ht="18" customHeight="1" x14ac:dyDescent="0.25">
      <c r="A24" s="165" t="s">
        <v>494</v>
      </c>
      <c r="B24" s="166">
        <v>20</v>
      </c>
      <c r="C24" s="166">
        <f t="shared" si="0"/>
        <v>240</v>
      </c>
      <c r="D24" s="165" t="s">
        <v>495</v>
      </c>
    </row>
    <row r="25" spans="1:4" ht="18" customHeight="1" x14ac:dyDescent="0.25">
      <c r="A25" s="165" t="s">
        <v>496</v>
      </c>
      <c r="B25" s="166">
        <v>19.989999999999998</v>
      </c>
      <c r="C25" s="166">
        <f t="shared" si="0"/>
        <v>239.88</v>
      </c>
      <c r="D25" s="165" t="s">
        <v>497</v>
      </c>
    </row>
    <row r="26" spans="1:4" ht="18" customHeight="1" x14ac:dyDescent="0.25">
      <c r="A26" s="165" t="s">
        <v>498</v>
      </c>
      <c r="B26" s="166">
        <v>37.950000000000003</v>
      </c>
      <c r="C26" s="166">
        <f t="shared" si="0"/>
        <v>455.40000000000003</v>
      </c>
      <c r="D26" s="165" t="s">
        <v>499</v>
      </c>
    </row>
    <row r="27" spans="1:4" ht="18" customHeight="1" x14ac:dyDescent="0.25">
      <c r="A27" s="167" t="s">
        <v>481</v>
      </c>
      <c r="B27" s="168"/>
      <c r="C27" s="169">
        <f>SUM(C22:C26)</f>
        <v>1639.6800000000003</v>
      </c>
      <c r="D27" s="168"/>
    </row>
    <row r="28" spans="1:4" ht="18" customHeight="1" x14ac:dyDescent="0.25">
      <c r="A28" s="163"/>
      <c r="B28" s="163"/>
      <c r="C28" s="163"/>
      <c r="D28" s="163"/>
    </row>
    <row r="29" spans="1:4" ht="18" customHeight="1" x14ac:dyDescent="0.25">
      <c r="A29" s="219" t="s">
        <v>500</v>
      </c>
      <c r="B29" s="218"/>
      <c r="C29" s="218"/>
      <c r="D29" s="218"/>
    </row>
    <row r="30" spans="1:4" ht="18" customHeight="1" x14ac:dyDescent="0.25">
      <c r="A30" s="164" t="s">
        <v>438</v>
      </c>
      <c r="B30" s="164" t="s">
        <v>439</v>
      </c>
      <c r="C30" s="164" t="s">
        <v>471</v>
      </c>
      <c r="D30" s="164" t="s">
        <v>472</v>
      </c>
    </row>
    <row r="31" spans="1:4" ht="18" customHeight="1" x14ac:dyDescent="0.25">
      <c r="A31" s="165" t="s">
        <v>501</v>
      </c>
      <c r="B31" s="170"/>
      <c r="C31" s="166">
        <v>213.5</v>
      </c>
      <c r="D31" s="165" t="s">
        <v>502</v>
      </c>
    </row>
    <row r="32" spans="1:4" ht="18" customHeight="1" x14ac:dyDescent="0.25">
      <c r="A32" s="165" t="s">
        <v>503</v>
      </c>
      <c r="B32" s="170"/>
      <c r="C32" s="166">
        <v>139.94999999999999</v>
      </c>
      <c r="D32" s="165" t="s">
        <v>504</v>
      </c>
    </row>
    <row r="33" spans="1:4" ht="18" customHeight="1" x14ac:dyDescent="0.25">
      <c r="A33" s="165" t="s">
        <v>441</v>
      </c>
      <c r="B33" s="170"/>
      <c r="C33" s="166">
        <v>138.76</v>
      </c>
      <c r="D33" s="165" t="s">
        <v>505</v>
      </c>
    </row>
    <row r="34" spans="1:4" ht="18" customHeight="1" x14ac:dyDescent="0.25">
      <c r="A34" s="165" t="s">
        <v>440</v>
      </c>
      <c r="B34" s="170"/>
      <c r="C34" s="166">
        <v>125</v>
      </c>
      <c r="D34" s="165" t="s">
        <v>506</v>
      </c>
    </row>
    <row r="35" spans="1:4" ht="18" customHeight="1" x14ac:dyDescent="0.25">
      <c r="A35" s="167" t="s">
        <v>481</v>
      </c>
      <c r="B35" s="168"/>
      <c r="C35" s="169">
        <f>SUM(C31:C34)</f>
        <v>617.21</v>
      </c>
      <c r="D35" s="168"/>
    </row>
    <row r="36" spans="1:4" ht="18" customHeight="1" x14ac:dyDescent="0.25"/>
    <row r="37" spans="1:4" ht="18" customHeight="1" x14ac:dyDescent="0.25">
      <c r="A37" s="223" t="s">
        <v>507</v>
      </c>
      <c r="B37" s="221"/>
      <c r="C37" s="221"/>
      <c r="D37" s="221"/>
    </row>
    <row r="38" spans="1:4" ht="18" customHeight="1" x14ac:dyDescent="0.25">
      <c r="A38" s="224" t="s">
        <v>508</v>
      </c>
      <c r="B38" s="221"/>
      <c r="C38" s="221"/>
      <c r="D38" s="171"/>
    </row>
    <row r="39" spans="1:4" ht="18" customHeight="1" x14ac:dyDescent="0.25">
      <c r="A39" s="220" t="s">
        <v>509</v>
      </c>
      <c r="B39" s="221"/>
      <c r="C39" s="221"/>
      <c r="D39" s="171"/>
    </row>
    <row r="40" spans="1:4" ht="18" customHeight="1" x14ac:dyDescent="0.25">
      <c r="A40" s="220" t="s">
        <v>510</v>
      </c>
      <c r="B40" s="221"/>
      <c r="C40" s="221"/>
      <c r="D40" s="171"/>
    </row>
    <row r="41" spans="1:4" ht="18" customHeight="1" x14ac:dyDescent="0.25"/>
    <row r="42" spans="1:4" ht="15.75" thickBot="1" x14ac:dyDescent="0.3">
      <c r="B42" s="82" t="s">
        <v>3</v>
      </c>
      <c r="C42" s="172">
        <f>+C9+C17+C27+C35</f>
        <v>13533.650000000001</v>
      </c>
    </row>
    <row r="43" spans="1:4" ht="15.75" thickTop="1" x14ac:dyDescent="0.25"/>
  </sheetData>
  <mergeCells count="10">
    <mergeCell ref="A1:D1"/>
    <mergeCell ref="A3:D3"/>
    <mergeCell ref="A11:D11"/>
    <mergeCell ref="A39:C39"/>
    <mergeCell ref="A40:C40"/>
    <mergeCell ref="A19:D19"/>
    <mergeCell ref="A20:D20"/>
    <mergeCell ref="A29:D29"/>
    <mergeCell ref="A37:D37"/>
    <mergeCell ref="A38:C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1758-54A4-4BEF-9D84-773B14C2BDC3}">
  <sheetPr>
    <tabColor theme="7" tint="0.59999389629810485"/>
  </sheetPr>
  <dimension ref="A1:E20"/>
  <sheetViews>
    <sheetView zoomScale="150" zoomScaleNormal="150" workbookViewId="0">
      <selection activeCell="H16" sqref="H16"/>
    </sheetView>
  </sheetViews>
  <sheetFormatPr defaultRowHeight="15" x14ac:dyDescent="0.25"/>
  <cols>
    <col min="1" max="1" width="47.7109375" customWidth="1"/>
    <col min="2" max="2" width="12.140625" style="30" bestFit="1" customWidth="1"/>
    <col min="4" max="4" width="14" customWidth="1"/>
    <col min="5" max="5" width="35.28515625" bestFit="1" customWidth="1"/>
  </cols>
  <sheetData>
    <row r="1" spans="1:5" x14ac:dyDescent="0.25">
      <c r="A1" s="225" t="s">
        <v>0</v>
      </c>
      <c r="B1" s="225"/>
      <c r="C1" s="22"/>
    </row>
    <row r="2" spans="1:5" x14ac:dyDescent="0.25">
      <c r="A2" s="225" t="s">
        <v>526</v>
      </c>
      <c r="B2" s="225"/>
      <c r="C2" s="22"/>
    </row>
    <row r="4" spans="1:5" ht="45" x14ac:dyDescent="0.25">
      <c r="B4" s="107" t="s">
        <v>528</v>
      </c>
      <c r="D4" s="107" t="s">
        <v>527</v>
      </c>
    </row>
    <row r="5" spans="1:5" s="152" customFormat="1" x14ac:dyDescent="0.25">
      <c r="A5" s="152" t="s">
        <v>514</v>
      </c>
      <c r="B5" s="23" t="s">
        <v>515</v>
      </c>
      <c r="D5" s="23" t="s">
        <v>515</v>
      </c>
      <c r="E5" s="152" t="s">
        <v>514</v>
      </c>
    </row>
    <row r="6" spans="1:5" x14ac:dyDescent="0.25">
      <c r="A6" t="s">
        <v>516</v>
      </c>
      <c r="B6" s="30">
        <v>6200</v>
      </c>
      <c r="D6" s="30">
        <v>6085</v>
      </c>
      <c r="E6" t="s">
        <v>516</v>
      </c>
    </row>
    <row r="7" spans="1:5" x14ac:dyDescent="0.25">
      <c r="A7" t="s">
        <v>517</v>
      </c>
      <c r="B7" s="30">
        <v>4500</v>
      </c>
      <c r="D7" s="30">
        <v>4075.39</v>
      </c>
      <c r="E7" t="s">
        <v>517</v>
      </c>
    </row>
    <row r="8" spans="1:5" x14ac:dyDescent="0.25">
      <c r="A8" t="s">
        <v>531</v>
      </c>
      <c r="B8" s="30">
        <v>3800</v>
      </c>
      <c r="D8" s="30">
        <v>3315.41</v>
      </c>
      <c r="E8" t="s">
        <v>518</v>
      </c>
    </row>
    <row r="9" spans="1:5" x14ac:dyDescent="0.25">
      <c r="A9" t="s">
        <v>519</v>
      </c>
      <c r="B9" s="30">
        <v>2200</v>
      </c>
      <c r="D9" s="30">
        <v>1760.91</v>
      </c>
      <c r="E9" t="s">
        <v>519</v>
      </c>
    </row>
    <row r="10" spans="1:5" x14ac:dyDescent="0.25">
      <c r="A10" t="s">
        <v>566</v>
      </c>
      <c r="B10" s="30">
        <v>2000</v>
      </c>
      <c r="D10" s="30">
        <v>1610.47</v>
      </c>
      <c r="E10" t="s">
        <v>520</v>
      </c>
    </row>
    <row r="11" spans="1:5" x14ac:dyDescent="0.25">
      <c r="A11" t="s">
        <v>532</v>
      </c>
      <c r="B11" s="30">
        <v>1650</v>
      </c>
      <c r="D11" s="30">
        <v>1116.71</v>
      </c>
      <c r="E11" t="s">
        <v>521</v>
      </c>
    </row>
    <row r="12" spans="1:5" x14ac:dyDescent="0.25">
      <c r="A12" t="s">
        <v>533</v>
      </c>
      <c r="B12" s="30">
        <v>1250</v>
      </c>
      <c r="D12" s="30">
        <v>1029.42</v>
      </c>
      <c r="E12" t="s">
        <v>522</v>
      </c>
    </row>
    <row r="13" spans="1:5" x14ac:dyDescent="0.25">
      <c r="A13" t="s">
        <v>567</v>
      </c>
      <c r="B13" s="30">
        <v>1600</v>
      </c>
      <c r="D13" s="30">
        <v>900</v>
      </c>
      <c r="E13" t="s">
        <v>523</v>
      </c>
    </row>
    <row r="14" spans="1:5" ht="15.75" thickBot="1" x14ac:dyDescent="0.3">
      <c r="A14" s="82" t="s">
        <v>3</v>
      </c>
      <c r="B14" s="68">
        <f>SUM(B6:B13)</f>
        <v>23200</v>
      </c>
      <c r="D14" s="68">
        <f>SUM(D6:D13)</f>
        <v>19893.309999999998</v>
      </c>
    </row>
    <row r="15" spans="1:5" ht="15.75" thickTop="1" x14ac:dyDescent="0.25">
      <c r="D15" s="30"/>
    </row>
    <row r="16" spans="1:5" x14ac:dyDescent="0.25">
      <c r="A16" s="22" t="s">
        <v>529</v>
      </c>
      <c r="D16" s="30"/>
    </row>
    <row r="17" spans="1:4" x14ac:dyDescent="0.25">
      <c r="A17" t="s">
        <v>524</v>
      </c>
      <c r="D17" s="30">
        <v>21000</v>
      </c>
    </row>
    <row r="18" spans="1:4" x14ac:dyDescent="0.25">
      <c r="A18" t="s">
        <v>525</v>
      </c>
      <c r="D18" s="30">
        <v>3000</v>
      </c>
    </row>
    <row r="19" spans="1:4" ht="15.75" thickBot="1" x14ac:dyDescent="0.3">
      <c r="B19" s="68">
        <f>+B14</f>
        <v>23200</v>
      </c>
      <c r="D19" s="68">
        <f>+D17+D18</f>
        <v>24000</v>
      </c>
    </row>
    <row r="20" spans="1:4" ht="15.75" thickTop="1" x14ac:dyDescent="0.25"/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0B7D-D1C1-4A45-A3D4-AFADAE6CF5EE}">
  <sheetPr>
    <tabColor theme="7" tint="0.59999389629810485"/>
  </sheetPr>
  <dimension ref="A1:C15"/>
  <sheetViews>
    <sheetView workbookViewId="0">
      <selection activeCell="H16" sqref="H16"/>
    </sheetView>
  </sheetViews>
  <sheetFormatPr defaultRowHeight="15" x14ac:dyDescent="0.25"/>
  <cols>
    <col min="1" max="1" width="60.42578125" bestFit="1" customWidth="1"/>
    <col min="2" max="2" width="20.7109375" style="30" bestFit="1" customWidth="1"/>
    <col min="3" max="3" width="44.5703125" bestFit="1" customWidth="1"/>
    <col min="4" max="5" width="9.5703125" bestFit="1" customWidth="1"/>
    <col min="6" max="6" width="13.140625" bestFit="1" customWidth="1"/>
    <col min="7" max="7" width="11.5703125" bestFit="1" customWidth="1"/>
    <col min="8" max="8" width="16.42578125" bestFit="1" customWidth="1"/>
    <col min="9" max="9" width="8.42578125" bestFit="1" customWidth="1"/>
    <col min="10" max="10" width="20.42578125" bestFit="1" customWidth="1"/>
    <col min="11" max="11" width="12.5703125" bestFit="1" customWidth="1"/>
    <col min="12" max="12" width="9.5703125" bestFit="1" customWidth="1"/>
    <col min="13" max="13" width="13.140625" bestFit="1" customWidth="1"/>
    <col min="14" max="14" width="11.5703125" bestFit="1" customWidth="1"/>
    <col min="15" max="15" width="19.42578125" bestFit="1" customWidth="1"/>
    <col min="16" max="16" width="20.5703125" bestFit="1" customWidth="1"/>
    <col min="17" max="17" width="36.28515625" bestFit="1" customWidth="1"/>
  </cols>
  <sheetData>
    <row r="1" spans="1:3" x14ac:dyDescent="0.25">
      <c r="A1" s="225" t="s">
        <v>0</v>
      </c>
      <c r="B1" s="225"/>
      <c r="C1" s="225"/>
    </row>
    <row r="2" spans="1:3" x14ac:dyDescent="0.25">
      <c r="A2" s="225" t="s">
        <v>451</v>
      </c>
      <c r="B2" s="225"/>
      <c r="C2" s="225"/>
    </row>
    <row r="4" spans="1:3" x14ac:dyDescent="0.25">
      <c r="A4" s="153" t="s">
        <v>452</v>
      </c>
      <c r="B4" s="30">
        <f>+'Drafted FY 2026-2027 Budget'!G33</f>
        <v>75000</v>
      </c>
    </row>
    <row r="5" spans="1:3" x14ac:dyDescent="0.25">
      <c r="A5" s="44" t="s">
        <v>466</v>
      </c>
      <c r="B5" s="30">
        <f>+'2026-01 thru 06 Payroll Proj'!J12*12*1.2</f>
        <v>12858.624</v>
      </c>
      <c r="C5" s="207" t="s">
        <v>572</v>
      </c>
    </row>
    <row r="6" spans="1:3" x14ac:dyDescent="0.25">
      <c r="A6" s="44" t="s">
        <v>467</v>
      </c>
      <c r="B6" s="30">
        <f>+'2026-01 thru 06 Payroll Proj'!K12*12</f>
        <v>105.60000000000001</v>
      </c>
      <c r="C6" t="s">
        <v>573</v>
      </c>
    </row>
    <row r="7" spans="1:3" ht="15.75" thickBot="1" x14ac:dyDescent="0.3">
      <c r="A7" s="44" t="s">
        <v>447</v>
      </c>
      <c r="B7" s="154">
        <f>+B4-B5-B6</f>
        <v>62035.776000000005</v>
      </c>
    </row>
    <row r="8" spans="1:3" ht="15.75" thickTop="1" x14ac:dyDescent="0.25"/>
    <row r="9" spans="1:3" x14ac:dyDescent="0.25">
      <c r="A9" s="44" t="s">
        <v>448</v>
      </c>
      <c r="B9" s="30">
        <f>+B7*0.062</f>
        <v>3846.2181120000005</v>
      </c>
    </row>
    <row r="10" spans="1:3" x14ac:dyDescent="0.25">
      <c r="A10" s="44" t="s">
        <v>449</v>
      </c>
      <c r="B10" s="30">
        <f>+B7*0.0145</f>
        <v>899.51875200000018</v>
      </c>
    </row>
    <row r="12" spans="1:3" x14ac:dyDescent="0.25">
      <c r="A12" s="44" t="s">
        <v>468</v>
      </c>
      <c r="B12" s="30">
        <f>34200*0.0074</f>
        <v>253.08</v>
      </c>
    </row>
    <row r="14" spans="1:3" ht="15.75" thickBot="1" x14ac:dyDescent="0.3">
      <c r="A14" s="44" t="s">
        <v>450</v>
      </c>
      <c r="B14" s="154">
        <f>+B9+B10+B12</f>
        <v>4998.8168640000004</v>
      </c>
    </row>
    <row r="15" spans="1:3" ht="15.75" thickTop="1" x14ac:dyDescent="0.25"/>
  </sheetData>
  <mergeCells count="2">
    <mergeCell ref="A1:C1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3472-6C0C-4082-A958-83C969A0FE64}">
  <sheetPr>
    <tabColor theme="7" tint="0.59999389629810485"/>
  </sheetPr>
  <dimension ref="A1:N38"/>
  <sheetViews>
    <sheetView topLeftCell="A8" workbookViewId="0">
      <selection activeCell="H16" sqref="H16"/>
    </sheetView>
  </sheetViews>
  <sheetFormatPr defaultRowHeight="15" x14ac:dyDescent="0.25"/>
  <cols>
    <col min="1" max="1" width="15.7109375" customWidth="1"/>
    <col min="2" max="2" width="13.42578125" customWidth="1"/>
    <col min="3" max="3" width="12.42578125" bestFit="1" customWidth="1"/>
    <col min="4" max="4" width="19.42578125" customWidth="1"/>
    <col min="5" max="5" width="9" customWidth="1"/>
    <col min="6" max="6" width="10.140625" customWidth="1"/>
    <col min="7" max="7" width="15.28515625" customWidth="1"/>
    <col min="8" max="8" width="12.5703125" bestFit="1" customWidth="1"/>
    <col min="9" max="9" width="9.85546875" bestFit="1" customWidth="1"/>
    <col min="10" max="10" width="13.140625" bestFit="1" customWidth="1"/>
    <col min="11" max="11" width="11.5703125" bestFit="1" customWidth="1"/>
    <col min="12" max="13" width="9.42578125" customWidth="1"/>
    <col min="14" max="14" width="16" customWidth="1"/>
  </cols>
  <sheetData>
    <row r="1" spans="1:14" x14ac:dyDescent="0.25">
      <c r="A1" t="s">
        <v>122</v>
      </c>
    </row>
    <row r="2" spans="1:14" x14ac:dyDescent="0.25">
      <c r="A2" t="s">
        <v>123</v>
      </c>
    </row>
    <row r="3" spans="1:14" x14ac:dyDescent="0.25">
      <c r="A3" t="s">
        <v>453</v>
      </c>
    </row>
    <row r="4" spans="1:14" x14ac:dyDescent="0.25">
      <c r="A4" t="s">
        <v>454</v>
      </c>
    </row>
    <row r="5" spans="1:14" x14ac:dyDescent="0.25">
      <c r="A5" t="s">
        <v>455</v>
      </c>
    </row>
    <row r="6" spans="1:14" x14ac:dyDescent="0.25">
      <c r="A6" t="s">
        <v>124</v>
      </c>
    </row>
    <row r="7" spans="1:14" x14ac:dyDescent="0.25">
      <c r="A7" t="s">
        <v>125</v>
      </c>
    </row>
    <row r="8" spans="1:14" x14ac:dyDescent="0.25">
      <c r="A8" t="s">
        <v>126</v>
      </c>
    </row>
    <row r="9" spans="1:14" x14ac:dyDescent="0.25">
      <c r="A9" t="s">
        <v>145</v>
      </c>
    </row>
    <row r="11" spans="1:14" s="155" customFormat="1" ht="60" x14ac:dyDescent="0.25">
      <c r="A11" s="155" t="s">
        <v>127</v>
      </c>
      <c r="B11" s="155" t="s">
        <v>128</v>
      </c>
      <c r="C11" s="155" t="s">
        <v>129</v>
      </c>
      <c r="D11" s="155" t="s">
        <v>130</v>
      </c>
      <c r="E11" s="155" t="s">
        <v>131</v>
      </c>
      <c r="F11" s="155" t="s">
        <v>132</v>
      </c>
      <c r="G11" s="155" t="s">
        <v>133</v>
      </c>
      <c r="H11" s="155" t="s">
        <v>134</v>
      </c>
      <c r="I11" s="155" t="s">
        <v>135</v>
      </c>
      <c r="J11" s="155" t="s">
        <v>129</v>
      </c>
      <c r="K11" s="155" t="s">
        <v>130</v>
      </c>
      <c r="L11" s="155" t="s">
        <v>136</v>
      </c>
      <c r="M11" s="155" t="s">
        <v>137</v>
      </c>
      <c r="N11" s="155" t="s">
        <v>138</v>
      </c>
    </row>
    <row r="12" spans="1:14" s="30" customFormat="1" x14ac:dyDescent="0.25">
      <c r="A12" s="30">
        <v>5833.34</v>
      </c>
      <c r="B12" s="30">
        <v>5833.34</v>
      </c>
      <c r="C12" s="30">
        <v>777.24</v>
      </c>
      <c r="D12" s="30">
        <v>8.8000000000000007</v>
      </c>
      <c r="E12" s="30">
        <v>890.68</v>
      </c>
      <c r="F12" s="30">
        <v>73.19</v>
      </c>
      <c r="G12" s="30">
        <v>154</v>
      </c>
      <c r="H12" s="30">
        <v>312.93</v>
      </c>
      <c r="I12" s="30">
        <v>3616.5</v>
      </c>
      <c r="J12" s="30">
        <v>892.96</v>
      </c>
      <c r="K12" s="30">
        <v>8.8000000000000007</v>
      </c>
      <c r="L12" s="30">
        <v>73.19</v>
      </c>
      <c r="M12" s="30">
        <v>312.93</v>
      </c>
      <c r="N12" s="30">
        <v>37.36</v>
      </c>
    </row>
    <row r="14" spans="1:14" s="30" customFormat="1" x14ac:dyDescent="0.25"/>
    <row r="15" spans="1:14" s="156" customFormat="1" x14ac:dyDescent="0.25"/>
    <row r="16" spans="1:14" s="156" customFormat="1" x14ac:dyDescent="0.25">
      <c r="B16" s="156" t="s">
        <v>456</v>
      </c>
      <c r="D16" s="157" t="s">
        <v>462</v>
      </c>
    </row>
    <row r="17" spans="1:4" s="156" customFormat="1" ht="15.75" thickBot="1" x14ac:dyDescent="0.3">
      <c r="A17" s="156" t="s">
        <v>128</v>
      </c>
      <c r="B17" s="156">
        <f>+B12*6</f>
        <v>35000.04</v>
      </c>
      <c r="D17" s="161">
        <f>+B17</f>
        <v>35000.04</v>
      </c>
    </row>
    <row r="18" spans="1:4" s="156" customFormat="1" ht="15.75" thickTop="1" x14ac:dyDescent="0.25"/>
    <row r="19" spans="1:4" s="156" customFormat="1" x14ac:dyDescent="0.25">
      <c r="C19" s="156" t="s">
        <v>461</v>
      </c>
    </row>
    <row r="20" spans="1:4" s="156" customFormat="1" x14ac:dyDescent="0.25">
      <c r="A20" s="159" t="s">
        <v>457</v>
      </c>
      <c r="B20" s="157" t="s">
        <v>459</v>
      </c>
      <c r="C20" s="157" t="s">
        <v>460</v>
      </c>
      <c r="D20" s="157" t="s">
        <v>462</v>
      </c>
    </row>
    <row r="21" spans="1:4" s="156" customFormat="1" x14ac:dyDescent="0.25">
      <c r="A21" s="156" t="s">
        <v>129</v>
      </c>
      <c r="B21" s="156">
        <f>+J12*4</f>
        <v>3571.84</v>
      </c>
      <c r="C21" s="156">
        <f>+J12*2*1.12</f>
        <v>2000.2304000000004</v>
      </c>
      <c r="D21" s="156">
        <f>+B21+C21</f>
        <v>5572.0704000000005</v>
      </c>
    </row>
    <row r="22" spans="1:4" s="156" customFormat="1" x14ac:dyDescent="0.25">
      <c r="A22" s="156" t="s">
        <v>130</v>
      </c>
      <c r="B22" s="156">
        <f>+K12*4</f>
        <v>35.200000000000003</v>
      </c>
      <c r="C22" s="156">
        <f>+K12*2*1.12</f>
        <v>19.712000000000003</v>
      </c>
      <c r="D22" s="156">
        <f>+B22+C22</f>
        <v>54.912000000000006</v>
      </c>
    </row>
    <row r="23" spans="1:4" s="156" customFormat="1" ht="15.75" thickBot="1" x14ac:dyDescent="0.3">
      <c r="D23" s="158">
        <f>SUM(D21:D22)</f>
        <v>5626.9824000000008</v>
      </c>
    </row>
    <row r="24" spans="1:4" s="156" customFormat="1" ht="15.75" thickTop="1" x14ac:dyDescent="0.25"/>
    <row r="25" spans="1:4" s="156" customFormat="1" x14ac:dyDescent="0.25">
      <c r="C25" s="156" t="s">
        <v>461</v>
      </c>
    </row>
    <row r="26" spans="1:4" s="156" customFormat="1" x14ac:dyDescent="0.25">
      <c r="A26" s="159" t="s">
        <v>458</v>
      </c>
      <c r="B26" s="157" t="s">
        <v>459</v>
      </c>
      <c r="C26" s="157" t="s">
        <v>460</v>
      </c>
      <c r="D26" s="157" t="s">
        <v>462</v>
      </c>
    </row>
    <row r="27" spans="1:4" s="156" customFormat="1" x14ac:dyDescent="0.25">
      <c r="A27" s="156" t="s">
        <v>129</v>
      </c>
      <c r="B27" s="156">
        <f>+C12*4</f>
        <v>3108.96</v>
      </c>
      <c r="C27" s="156">
        <f>+C12*1.12*2</f>
        <v>1741.0176000000001</v>
      </c>
      <c r="D27" s="156">
        <f>+B27+C27</f>
        <v>4849.9776000000002</v>
      </c>
    </row>
    <row r="28" spans="1:4" s="156" customFormat="1" x14ac:dyDescent="0.25">
      <c r="A28" s="156" t="s">
        <v>130</v>
      </c>
      <c r="B28" s="156">
        <f>+D12*4</f>
        <v>35.200000000000003</v>
      </c>
      <c r="C28" s="156">
        <f>+D12*2*1.12</f>
        <v>19.712000000000003</v>
      </c>
      <c r="D28" s="156">
        <f>+B28+C28</f>
        <v>54.912000000000006</v>
      </c>
    </row>
    <row r="29" spans="1:4" s="156" customFormat="1" ht="15.75" thickBot="1" x14ac:dyDescent="0.3">
      <c r="D29" s="161">
        <f>SUM(D27:D28)</f>
        <v>4904.8896000000004</v>
      </c>
    </row>
    <row r="30" spans="1:4" s="156" customFormat="1" ht="15.75" thickTop="1" x14ac:dyDescent="0.25"/>
    <row r="31" spans="1:4" s="156" customFormat="1" ht="15.75" thickBot="1" x14ac:dyDescent="0.3">
      <c r="A31" s="156" t="s">
        <v>464</v>
      </c>
      <c r="D31" s="162">
        <f>+D17-D29</f>
        <v>30095.150399999999</v>
      </c>
    </row>
    <row r="32" spans="1:4" s="156" customFormat="1" ht="15.75" thickTop="1" x14ac:dyDescent="0.25"/>
    <row r="33" spans="1:5" s="156" customFormat="1" x14ac:dyDescent="0.25">
      <c r="A33" s="159" t="s">
        <v>463</v>
      </c>
    </row>
    <row r="34" spans="1:5" s="30" customFormat="1" x14ac:dyDescent="0.25">
      <c r="A34" s="30" t="s">
        <v>136</v>
      </c>
      <c r="C34" s="160">
        <v>1.4500000000000001E-2</v>
      </c>
      <c r="D34" s="30">
        <f>+D31*C34</f>
        <v>436.37968080000002</v>
      </c>
    </row>
    <row r="35" spans="1:5" s="30" customFormat="1" x14ac:dyDescent="0.25">
      <c r="A35" s="30" t="s">
        <v>137</v>
      </c>
      <c r="C35" s="160">
        <v>6.2E-2</v>
      </c>
      <c r="D35" s="30">
        <f>+D31*C35</f>
        <v>1865.8993247999999</v>
      </c>
    </row>
    <row r="36" spans="1:5" s="30" customFormat="1" x14ac:dyDescent="0.25">
      <c r="A36" s="30" t="s">
        <v>138</v>
      </c>
      <c r="D36" s="30">
        <f>+N12*6</f>
        <v>224.16</v>
      </c>
      <c r="E36" s="30" t="s">
        <v>465</v>
      </c>
    </row>
    <row r="37" spans="1:5" s="30" customFormat="1" ht="15.75" thickBot="1" x14ac:dyDescent="0.3">
      <c r="D37" s="68">
        <f>SUM(D34:D36)</f>
        <v>2526.4390055999997</v>
      </c>
    </row>
    <row r="38" spans="1:5" s="30" customFormat="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Draft FY 26-27 Bud By Category</vt:lpstr>
      <vt:lpstr>Draft FY26-27 Budget for 4-3-26</vt:lpstr>
      <vt:lpstr>Proj. Accum. Excess Revenues</vt:lpstr>
      <vt:lpstr>Drafted FY 2026-2027 Budget</vt:lpstr>
      <vt:lpstr>25-26 Proj. Actual vs Budget</vt:lpstr>
      <vt:lpstr>FY26-27 Computer-Phone-Internet</vt:lpstr>
      <vt:lpstr>FY26-27 Conferences</vt:lpstr>
      <vt:lpstr>FY26-27 Employer Taxes</vt:lpstr>
      <vt:lpstr>2026-01 thru 06 Payroll Proj</vt:lpstr>
      <vt:lpstr>2025-2026 Actual vs Budget</vt:lpstr>
      <vt:lpstr>Hyde County Ledger Exp FY 25-26</vt:lpstr>
      <vt:lpstr>Small Purch Acct FY 25-26</vt:lpstr>
      <vt:lpstr>Expense Summary - Check</vt:lpstr>
      <vt:lpstr>Medical Insurance Recon</vt:lpstr>
      <vt:lpstr>Patriot PR Details RPT FY 25-26</vt:lpstr>
      <vt:lpstr>FNB Payroll Acct. Rollforward</vt:lpstr>
      <vt:lpstr>FY 2025-2026 Occupancy Tax</vt:lpstr>
      <vt:lpstr>FY 2025-2026 Budget</vt:lpstr>
      <vt:lpstr>'2025-2026 Actual vs Budget'!Print_Area</vt:lpstr>
      <vt:lpstr>'25-26 Proj. Actual vs Budget'!Print_Area</vt:lpstr>
      <vt:lpstr>'Draft FY 26-27 Bud By Category'!Print_Area</vt:lpstr>
      <vt:lpstr>'Draft FY26-27 Budget for 4-3-26'!Print_Area</vt:lpstr>
      <vt:lpstr>'Drafted FY 2026-2027 Budget'!Print_Area</vt:lpstr>
      <vt:lpstr>'FY 2025-2026 Occupancy Tax'!Print_Area</vt:lpstr>
      <vt:lpstr>'Hyde County Ledger Exp FY 25-26'!Print_Area</vt:lpstr>
      <vt:lpstr>'Small Purch Acct FY 25-26'!Print_Area</vt:lpstr>
      <vt:lpstr>'2025-2026 Actual vs Budget'!Print_Titles</vt:lpstr>
      <vt:lpstr>'25-26 Proj. Actual vs Budget'!Print_Titles</vt:lpstr>
      <vt:lpstr>'Draft FY 26-27 Bud By Category'!Print_Titles</vt:lpstr>
      <vt:lpstr>'Draft FY26-27 Budget for 4-3-26'!Print_Titles</vt:lpstr>
      <vt:lpstr>'Drafted FY 2026-2027 Budget'!Print_Titles</vt:lpstr>
      <vt:lpstr>'Hyde County Ledger Exp FY 25-26'!Print_Titles</vt:lpstr>
      <vt:lpstr>'Small Purch Acct FY 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and S Dippold</dc:creator>
  <cp:lastModifiedBy>Helena Stevens</cp:lastModifiedBy>
  <cp:lastPrinted>2026-03-22T17:19:42Z</cp:lastPrinted>
  <dcterms:created xsi:type="dcterms:W3CDTF">2020-05-18T22:15:48Z</dcterms:created>
  <dcterms:modified xsi:type="dcterms:W3CDTF">2026-06-30T20:30:12Z</dcterms:modified>
</cp:coreProperties>
</file>